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hidePivotFieldList="1" defaultThemeVersion="166925"/>
  <mc:AlternateContent xmlns:mc="http://schemas.openxmlformats.org/markup-compatibility/2006">
    <mc:Choice Requires="x15">
      <x15ac:absPath xmlns:x15ac="http://schemas.microsoft.com/office/spreadsheetml/2010/11/ac" url="C:\ANAC\GTOP\CCOP\DOCS 2025\DOCS SBBE\"/>
    </mc:Choice>
  </mc:AlternateContent>
  <xr:revisionPtr revIDLastSave="0" documentId="13_ncr:1_{6B59E432-0F6A-4DED-826A-E7A5C8A3531B}" xr6:coauthVersionLast="47" xr6:coauthVersionMax="47" xr10:uidLastSave="{00000000-0000-0000-0000-000000000000}"/>
  <bookViews>
    <workbookView xWindow="-110" yWindow="-110" windowWidth="19420" windowHeight="10300" tabRatio="856" firstSheet="1" activeTab="1" xr2:uid="{4DC82708-FA27-4BD8-84DB-B9A698C0140E}"/>
  </bookViews>
  <sheets>
    <sheet name="Orientações" sheetId="15" r:id="rId1"/>
    <sheet name="DOCS MNT" sheetId="5" r:id="rId2"/>
    <sheet name="DOCS MNT Final" sheetId="14" r:id="rId3"/>
    <sheet name="Listas" sheetId="6" state="hidden" r:id="rId4"/>
  </sheets>
  <definedNames>
    <definedName name="_xlnm._FilterDatabase" localSheetId="1" hidden="1">'DOCS MNT'!$C$15:$S$118</definedName>
    <definedName name="_Hlk85077714" localSheetId="1">'DOCS MNT'!#REF!</definedName>
    <definedName name="_xlnm.Print_Area" localSheetId="1">'DOCS MNT'!$A$1:$T$120</definedName>
    <definedName name="_xlnm.Print_Area" localSheetId="2">'DOCS MNT Final'!$A$1:$K$47</definedName>
    <definedName name="_xlnm.Print_Area" localSheetId="0">Orientações!$A$1:$D$36</definedName>
    <definedName name="Z_D37F1B69_6CE7_4A90_8559_8AE519A5C1EC_.wvu.Cols" localSheetId="1" hidden="1">'DOCS MNT'!$D:$D,'DOCS MNT'!$G:$G,'DOCS MNT'!$W:$W</definedName>
    <definedName name="Z_D37F1B69_6CE7_4A90_8559_8AE519A5C1EC_.wvu.Cols" localSheetId="2" hidden="1">'DOCS MNT Final'!$C:$D,'DOCS MNT Final'!#REF!</definedName>
    <definedName name="Z_D37F1B69_6CE7_4A90_8559_8AE519A5C1EC_.wvu.FilterData" localSheetId="1" hidden="1">'DOCS MNT'!$C$15:$S$118</definedName>
    <definedName name="Z_D37F1B69_6CE7_4A90_8559_8AE519A5C1EC_.wvu.PrintArea" localSheetId="1" hidden="1">'DOCS MNT'!$A$10:$T$120</definedName>
    <definedName name="Z_D37F1B69_6CE7_4A90_8559_8AE519A5C1EC_.wvu.PrintArea" localSheetId="2" hidden="1">'DOCS MNT Final'!$A$1:$M$56</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8" i="5" l="1"/>
  <c r="W111" i="5"/>
  <c r="R111" i="5"/>
  <c r="Q111" i="5"/>
  <c r="W116" i="5" l="1"/>
  <c r="R116" i="5"/>
  <c r="W115" i="5"/>
  <c r="R115" i="5"/>
  <c r="W114" i="5"/>
  <c r="R114" i="5"/>
  <c r="W113" i="5"/>
  <c r="R113" i="5"/>
  <c r="W112" i="5"/>
  <c r="R112" i="5"/>
  <c r="W110" i="5"/>
  <c r="R110" i="5"/>
  <c r="W109" i="5"/>
  <c r="R109" i="5"/>
  <c r="W108" i="5"/>
  <c r="R108" i="5"/>
  <c r="W107" i="5"/>
  <c r="R107" i="5"/>
  <c r="W106" i="5"/>
  <c r="R106" i="5"/>
  <c r="W101" i="5"/>
  <c r="R101" i="5"/>
  <c r="W100" i="5"/>
  <c r="R100" i="5"/>
  <c r="W99" i="5"/>
  <c r="R99" i="5"/>
  <c r="W98" i="5"/>
  <c r="R98" i="5"/>
  <c r="W97" i="5"/>
  <c r="R97" i="5"/>
  <c r="W88" i="5"/>
  <c r="R88" i="5"/>
  <c r="W87" i="5"/>
  <c r="R87" i="5"/>
  <c r="W86" i="5"/>
  <c r="R86" i="5"/>
  <c r="W81" i="5"/>
  <c r="R81" i="5"/>
  <c r="W80" i="5"/>
  <c r="R80" i="5"/>
  <c r="W79" i="5"/>
  <c r="R79" i="5"/>
  <c r="W74" i="5"/>
  <c r="R74" i="5"/>
  <c r="W73" i="5"/>
  <c r="R73" i="5"/>
  <c r="W68" i="5"/>
  <c r="R68" i="5"/>
  <c r="W67" i="5"/>
  <c r="R67" i="5"/>
  <c r="W66" i="5"/>
  <c r="R66" i="5"/>
  <c r="W61" i="5"/>
  <c r="R61" i="5"/>
  <c r="W60" i="5"/>
  <c r="R60" i="5"/>
  <c r="W59" i="5"/>
  <c r="R59" i="5"/>
  <c r="W58" i="5"/>
  <c r="R58" i="5"/>
  <c r="W57" i="5"/>
  <c r="R57" i="5"/>
  <c r="W56" i="5"/>
  <c r="R56" i="5"/>
  <c r="W55" i="5"/>
  <c r="R55" i="5"/>
  <c r="W50" i="5"/>
  <c r="R50" i="5"/>
  <c r="W49" i="5"/>
  <c r="R49" i="5"/>
  <c r="W48" i="5"/>
  <c r="R48" i="5"/>
  <c r="W47" i="5"/>
  <c r="R47" i="5"/>
  <c r="W46" i="5"/>
  <c r="R46" i="5"/>
  <c r="W45" i="5"/>
  <c r="R45" i="5"/>
  <c r="W44" i="5"/>
  <c r="R44" i="5"/>
  <c r="W39" i="5"/>
  <c r="R39" i="5"/>
  <c r="W38" i="5"/>
  <c r="R38" i="5"/>
  <c r="W37" i="5"/>
  <c r="R37" i="5"/>
  <c r="W36" i="5"/>
  <c r="R36" i="5"/>
  <c r="W27" i="5"/>
  <c r="R27" i="5"/>
  <c r="W26" i="5"/>
  <c r="R26" i="5"/>
  <c r="W25" i="5"/>
  <c r="R25" i="5"/>
  <c r="W24" i="5"/>
  <c r="R24" i="5"/>
  <c r="W23" i="5"/>
  <c r="R23" i="5"/>
  <c r="W22" i="5"/>
  <c r="R22" i="5"/>
  <c r="W21" i="5"/>
  <c r="R21" i="5"/>
  <c r="W20" i="5"/>
  <c r="R20" i="5"/>
  <c r="W19" i="5"/>
  <c r="R19" i="5"/>
  <c r="W18" i="5"/>
  <c r="R18" i="5"/>
  <c r="W17" i="5"/>
  <c r="R17" i="5"/>
  <c r="W16" i="5"/>
  <c r="R16" i="5"/>
  <c r="O103" i="5"/>
  <c r="O76" i="5"/>
  <c r="O52" i="5"/>
  <c r="O41" i="5"/>
  <c r="O29" i="5"/>
  <c r="Q114" i="5"/>
  <c r="Q110" i="5"/>
  <c r="Q99" i="5"/>
  <c r="Q98" i="5"/>
  <c r="R117" i="5" l="1"/>
  <c r="R118" i="5" s="1"/>
  <c r="G18" i="14"/>
  <c r="G17" i="14"/>
  <c r="G16" i="14"/>
  <c r="G15" i="14"/>
  <c r="G14" i="14"/>
  <c r="G13" i="14"/>
  <c r="G12" i="14"/>
  <c r="G11" i="14"/>
  <c r="G10" i="14"/>
  <c r="G9" i="14"/>
  <c r="G8" i="14"/>
  <c r="G7" i="14"/>
  <c r="G6" i="14"/>
  <c r="Q18" i="5"/>
  <c r="Q21" i="5"/>
  <c r="Q20" i="5"/>
  <c r="Q19" i="5"/>
  <c r="Q24" i="5"/>
  <c r="Q23" i="5"/>
  <c r="Q22" i="5"/>
  <c r="Q25" i="5"/>
  <c r="Q26" i="5"/>
  <c r="O83" i="5" l="1"/>
  <c r="Q80" i="5"/>
  <c r="F15" i="14" l="1"/>
  <c r="N15" i="14" s="1"/>
  <c r="O90" i="5"/>
  <c r="Q88" i="5"/>
  <c r="Q87" i="5"/>
  <c r="Q86" i="5"/>
  <c r="R89" i="5" l="1"/>
  <c r="R90" i="5" l="1"/>
  <c r="P90" i="5" s="1"/>
  <c r="H15" i="14" s="1"/>
  <c r="F18" i="14" l="1"/>
  <c r="F17" i="14"/>
  <c r="F16" i="14"/>
  <c r="N16" i="14" s="1"/>
  <c r="F14" i="14"/>
  <c r="N14" i="14" s="1"/>
  <c r="F13" i="14"/>
  <c r="F12" i="14"/>
  <c r="F11" i="14"/>
  <c r="F10" i="14"/>
  <c r="F9" i="14"/>
  <c r="F8" i="14"/>
  <c r="N8" i="14" s="1"/>
  <c r="F7" i="14"/>
  <c r="F6" i="14"/>
  <c r="N6" i="14" s="1"/>
  <c r="N18" i="14"/>
  <c r="Q116" i="5"/>
  <c r="Q115" i="5"/>
  <c r="Q113" i="5"/>
  <c r="Q112" i="5"/>
  <c r="Q109" i="5"/>
  <c r="Q108" i="5"/>
  <c r="Q107" i="5"/>
  <c r="Q106" i="5"/>
  <c r="Q101" i="5"/>
  <c r="Q100" i="5"/>
  <c r="Q97" i="5"/>
  <c r="Q81" i="5"/>
  <c r="Q79" i="5"/>
  <c r="Q74" i="5"/>
  <c r="Q73" i="5"/>
  <c r="O70" i="5"/>
  <c r="Q68" i="5"/>
  <c r="Q67" i="5"/>
  <c r="Q66" i="5"/>
  <c r="O63" i="5"/>
  <c r="Q61" i="5"/>
  <c r="Q60" i="5"/>
  <c r="Q59" i="5"/>
  <c r="Q58" i="5"/>
  <c r="Q57" i="5"/>
  <c r="Q56" i="5"/>
  <c r="Q55" i="5"/>
  <c r="Q50" i="5"/>
  <c r="Q49" i="5"/>
  <c r="Q48" i="5"/>
  <c r="Q47" i="5"/>
  <c r="Q46" i="5"/>
  <c r="Q45" i="5"/>
  <c r="Q44" i="5"/>
  <c r="Q39" i="5"/>
  <c r="Q38" i="5"/>
  <c r="Q37" i="5"/>
  <c r="Q36" i="5"/>
  <c r="Q27" i="5"/>
  <c r="Q17" i="5"/>
  <c r="Q16" i="5"/>
  <c r="N9" i="14" l="1"/>
  <c r="N10" i="14"/>
  <c r="N11" i="14"/>
  <c r="N12" i="14"/>
  <c r="N13" i="14"/>
  <c r="N7" i="14"/>
  <c r="N17" i="14"/>
  <c r="R82" i="5"/>
  <c r="R102" i="5"/>
  <c r="R103" i="5" s="1"/>
  <c r="P103" i="5" s="1"/>
  <c r="H17" i="14" s="1"/>
  <c r="R51" i="5"/>
  <c r="R52" i="5" s="1"/>
  <c r="P52" i="5" s="1"/>
  <c r="H10" i="14" s="1"/>
  <c r="R40" i="5"/>
  <c r="R62" i="5"/>
  <c r="R63" i="5" s="1"/>
  <c r="P63" i="5" s="1"/>
  <c r="H11" i="14" s="1"/>
  <c r="R75" i="5"/>
  <c r="R69" i="5"/>
  <c r="R70" i="5" s="1"/>
  <c r="P70" i="5" s="1"/>
  <c r="H12" i="14" s="1"/>
  <c r="R28" i="5"/>
  <c r="R29" i="5" s="1"/>
  <c r="P29" i="5" s="1"/>
  <c r="H7" i="14" s="1"/>
  <c r="H6" i="14" s="1"/>
  <c r="P118" i="5"/>
  <c r="H18" i="14" s="1"/>
  <c r="H16" i="14" l="1"/>
  <c r="R76" i="5"/>
  <c r="P76" i="5" s="1"/>
  <c r="H13" i="14" s="1"/>
  <c r="R41" i="5"/>
  <c r="P41" i="5" s="1"/>
  <c r="H9" i="14" s="1"/>
  <c r="H8" i="14" s="1"/>
  <c r="R83" i="5"/>
  <c r="P83" i="5" s="1"/>
  <c r="H14" i="14" s="1"/>
  <c r="H19" i="14" l="1"/>
  <c r="H20"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Roberta Santos</author>
  </authors>
  <commentList>
    <comment ref="K50" authorId="0" shapeId="0" xr:uid="{25CA7A5A-FC00-4BCA-A9C3-CF9EE562115B}">
      <text>
        <r>
          <rPr>
            <b/>
            <sz val="9"/>
            <color indexed="81"/>
            <rFont val="Segoe UI"/>
            <family val="2"/>
          </rPr>
          <t>ORIENTAÇÃO:</t>
        </r>
        <r>
          <rPr>
            <sz val="9"/>
            <color indexed="81"/>
            <rFont val="Segoe UI"/>
            <family val="2"/>
          </rPr>
          <t xml:space="preserve"> A realização de inspeção na PPD em condiçoes de chuva é uma recomendação da IS, mas os parâmetros estabelecidos no item 153.205(e)(2) quanto a empoçamento na PPD são de cumprimento obrigatório</t>
        </r>
      </text>
    </comment>
    <comment ref="K74" authorId="0" shapeId="0" xr:uid="{706D56E0-6A90-4276-ADA2-F4F80D3E24CF}">
      <text>
        <r>
          <rPr>
            <sz val="9"/>
            <color indexed="81"/>
            <rFont val="Segoe UI"/>
            <family val="2"/>
          </rPr>
          <t xml:space="preserve">O Inventário da Rede deve ser o mais completo possível para um melhor desempenho do SPGA. Caso o operador de Aeródromo não possua todos os dados históricos da construção, manutenção e reabilitação dos pavimentos, os modelos de previsão poderão fornecer uma estimativa menos precisa do comportamento futuro do pavimento.
</t>
        </r>
      </text>
    </comment>
    <comment ref="K79" authorId="0" shapeId="0" xr:uid="{4ADDEB4E-391A-40DB-B629-1AC5E84645BD}">
      <text>
        <r>
          <rPr>
            <sz val="9"/>
            <color indexed="81"/>
            <rFont val="Segoe UI"/>
            <family val="2"/>
          </rPr>
          <t xml:space="preserve">A remoção de contaminantes do pavimento não deve utilizar produtos químicos que possam ter efeitos nocivos sobre as aeronaves, ao pavimento ou ao meio ambiente
</t>
        </r>
      </text>
    </comment>
  </commentList>
</comments>
</file>

<file path=xl/sharedStrings.xml><?xml version="1.0" encoding="utf-8"?>
<sst xmlns="http://schemas.openxmlformats.org/spreadsheetml/2006/main" count="525" uniqueCount="320">
  <si>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</si>
  <si>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</si>
  <si>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</si>
  <si>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 xml:space="preserve">ACOP D: </t>
    </r>
    <r>
      <rPr>
        <sz val="11"/>
        <color theme="1"/>
        <rFont val="Calibri"/>
        <family val="2"/>
        <scheme val="minor"/>
      </rPr>
      <t>Performance final entre 80% e 84%</t>
    </r>
    <r>
      <rPr>
        <b/>
        <sz val="11"/>
        <color theme="1"/>
        <rFont val="Calibri"/>
        <family val="2"/>
        <scheme val="minor"/>
      </rPr>
      <t xml:space="preserve">
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</si>
  <si>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</si>
  <si>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</si>
  <si>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</si>
  <si>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</si>
  <si>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</si>
  <si>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</si>
  <si>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</si>
  <si>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</si>
  <si>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</si>
  <si>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</si>
  <si>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</si>
  <si>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</si>
  <si>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</si>
  <si>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MNT</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</si>
  <si>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</si>
  <si>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</si>
  <si>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</si>
  <si>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</si>
  <si>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</si>
  <si>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</si>
  <si>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</si>
  <si>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</si>
  <si>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</si>
  <si>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</si>
  <si>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</si>
  <si>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</si>
  <si>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</si>
  <si>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</si>
  <si>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</si>
  <si>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</si>
  <si>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</si>
  <si>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</si>
  <si>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</si>
  <si>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</si>
  <si>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</si>
  <si>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</si>
  <si>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</si>
  <si>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</si>
  <si>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D2.1. Sistema de Manutenção Aeroportuária</t>
  </si>
  <si>
    <t>Desempenho esperado/Verificação</t>
  </si>
  <si>
    <t>Ref. MOPS</t>
  </si>
  <si>
    <t>Comentários</t>
  </si>
  <si>
    <t>N/A</t>
  </si>
  <si>
    <t>Score</t>
  </si>
  <si>
    <t>C/NC</t>
  </si>
  <si>
    <t>Score D</t>
  </si>
  <si>
    <t>D2.1.1 Programas e avaliações técnicas e de segurança operacional</t>
  </si>
  <si>
    <t>D1.1.1</t>
  </si>
  <si>
    <t>D</t>
  </si>
  <si>
    <t>I*, II, III e IV</t>
  </si>
  <si>
    <t>153132.01</t>
  </si>
  <si>
    <t>153.201(f)</t>
  </si>
  <si>
    <t>Produção de relatório (avaliação técnica) quando requisito do RBAC 153 não puder ser atendido. Classe I obrigatório se operar RBAC nº 135 ao público regular ou RBAC nº 121</t>
  </si>
  <si>
    <t>Evidências documentais de avaliação técnica quando requisito não puder ser atendido para garantia da segurança operacional.
Recomenda-se que esse item seja avaliado ao final da auditoria com base em todas as evidências colhidas.</t>
  </si>
  <si>
    <t>D1.1.2</t>
  </si>
  <si>
    <t>Produção de relatório (segurança operacional) quando requisito do RBAC 153 não puder ser atendido. Classe I obrigatório se operar RBAC nº 135 ao público regular ou RBAC nº 121</t>
  </si>
  <si>
    <t>AISO elaborada quando o não atendimento de requisito do RBAC 153 aumentar a exposição ao risco no aeroporto (pode receber informações oriundas de uma avaliação técnica).
Recomenda-se que esse item seja avaliado ao final da auditoria com base em todas as evidências colhidas.</t>
  </si>
  <si>
    <t>D1.1.3</t>
  </si>
  <si>
    <t>III e IV</t>
  </si>
  <si>
    <t>153122.01</t>
  </si>
  <si>
    <t>153.201(b)</t>
  </si>
  <si>
    <t>Progr. Manut.: Existência do Programa de Manutenção</t>
  </si>
  <si>
    <t>MOPS contém procedimentos específicos para as "áreas pavimentadas" dentro de um programa de manutenção (genérico).</t>
  </si>
  <si>
    <t>D1.1.4</t>
  </si>
  <si>
    <t>153.201(b)(1)</t>
  </si>
  <si>
    <t>Progr. Manut.: Áreas pavimentadas</t>
  </si>
  <si>
    <t>D1.1.5</t>
  </si>
  <si>
    <t>153123.01</t>
  </si>
  <si>
    <t>153.201(b)(2)</t>
  </si>
  <si>
    <t>Progr. Manut.: Áreas não pavimentadas</t>
  </si>
  <si>
    <t>MOPS contém procedimentos específicos para as "áreas não pavimentadas" dentro de um programa de manutenção (genérico).</t>
  </si>
  <si>
    <t>D1.1.6</t>
  </si>
  <si>
    <t>153124.01</t>
  </si>
  <si>
    <t>153.201(b)(3)</t>
  </si>
  <si>
    <t>Progr. Manut.: Sistema de drenagem</t>
  </si>
  <si>
    <t>MOPS contém procedimentos específicos para o "sistema de drenagem" dentro de um programa de manutenção (genérico). Verificar se procedimentos contemplam eventuais peculiaridades indicadas pelo gerenciamento de risco da fauna.</t>
  </si>
  <si>
    <t>D1.1.7</t>
  </si>
  <si>
    <t>153125.01</t>
  </si>
  <si>
    <t>153.201(b)(4)</t>
  </si>
  <si>
    <t>Progr. Manut.: Áreas verdes</t>
  </si>
  <si>
    <t>MOPS contém procedimentos específicos para as "áreas verdes" dentro de um programa de manutenção (genérico). Verificar se procedimentos contemplam eventuais peculiaridades indicadas pelo gerenciamento de risco da fauna.</t>
  </si>
  <si>
    <t>D1.1.8</t>
  </si>
  <si>
    <t>153126.01</t>
  </si>
  <si>
    <t>153.201(b)(5)</t>
  </si>
  <si>
    <t>Progr. Manut.: Auxílios visuais</t>
  </si>
  <si>
    <t>MOPS contém procedimentos específicos para os "auxílios visuais" dentro de um programa de manutenção (genérico).</t>
  </si>
  <si>
    <t>D1.1.9</t>
  </si>
  <si>
    <t>153127.01</t>
  </si>
  <si>
    <t>153.201(b)(6)</t>
  </si>
  <si>
    <t>Progr. Manut.: Sistemas elétricos</t>
  </si>
  <si>
    <t>MOPS contém procedimentos específicos para os "sistemas elétricos" dentro de um programa de manutenção (genérico).</t>
  </si>
  <si>
    <t>D1.1.10</t>
  </si>
  <si>
    <t>153128.01</t>
  </si>
  <si>
    <t>153.201(b)(7)</t>
  </si>
  <si>
    <t>Progr. Manut.: Sistema de proteção da área operacional</t>
  </si>
  <si>
    <t>MOPS contém procedimentos específicos para o "sistema de proteção da área operacional" dentro de um programa de manutenção (genérico). Verificar se procedimentos contemplam eventuais peculiaridades indicadas pelo gerenciamento de risco da fauna.</t>
  </si>
  <si>
    <t>D1.1.11</t>
  </si>
  <si>
    <t>C</t>
  </si>
  <si>
    <t>153129.01</t>
  </si>
  <si>
    <t>153.201(b)(8)</t>
  </si>
  <si>
    <t>Progr. Manut.: Equipamentos, veículos e sinalização viária</t>
  </si>
  <si>
    <t>MOPS contém procedimentos específicos para os "equipamentos, veículos e sinalização viária" dentro de um programa de manutenção (genérico).</t>
  </si>
  <si>
    <t>D1.1.12</t>
  </si>
  <si>
    <t>II, III e IV</t>
  </si>
  <si>
    <t>153131.01</t>
  </si>
  <si>
    <t>153.35(a) e (b)
153.201(e)</t>
  </si>
  <si>
    <t>ART de cargo e função do responsável técnico por serviços de manutenção aeroportuária</t>
  </si>
  <si>
    <t>Responsável pelos serviços de Manutenção Aeroportuária possui ART de Cargo e Função junto ao CREA do estado onde estiver localizado o aeroporto.</t>
  </si>
  <si>
    <t>Aplicab.</t>
  </si>
  <si>
    <t>D2.2. Monitoramento - Áreas Pavimentadas</t>
  </si>
  <si>
    <t>D2.2.1 Monitoramento da irregularidade longitudinal do pavimento</t>
  </si>
  <si>
    <t>D2.1.1</t>
  </si>
  <si>
    <t>153259.01</t>
  </si>
  <si>
    <t>153.205(f)(4)</t>
  </si>
  <si>
    <t>Parâmetros de medição de IRI</t>
  </si>
  <si>
    <t>Último relatório de medição de IRI com parâmetros conforme IS Nº 153.205-001.</t>
  </si>
  <si>
    <t>D2.1.2</t>
  </si>
  <si>
    <t>153258.01</t>
  </si>
  <si>
    <t>153.205(f)(2)</t>
  </si>
  <si>
    <t>Frequência das medições</t>
  </si>
  <si>
    <t>Último relatório de medição de IRI conforme Tabela 153.205-1 ou valor da tabela acrescido de 12 meses para AD enquadrados no 153.205(f)(6).</t>
  </si>
  <si>
    <t>D2.1.3</t>
  </si>
  <si>
    <t>153257.03</t>
  </si>
  <si>
    <t>153.205(f)(1)(i)</t>
  </si>
  <si>
    <t>Envio do resultado das medições para ANAC</t>
  </si>
  <si>
    <t>Protocolo do último relatório em até 30 dias após a conclusão.</t>
  </si>
  <si>
    <t>D2.1.5</t>
  </si>
  <si>
    <t>153260.01</t>
  </si>
  <si>
    <t>153.205(f)(5)</t>
  </si>
  <si>
    <t>Informa à ANAC ações para reestabelecer IRI</t>
  </si>
  <si>
    <t>Informado em conjunto com o relatório, se o resultado for superior a 2,5 m/km.</t>
  </si>
  <si>
    <t>D2.2.2 Monitoramento do coeficiente de atrito</t>
  </si>
  <si>
    <t>D2.2.1</t>
  </si>
  <si>
    <t>III e IV
I* e II - jato</t>
  </si>
  <si>
    <t>153263.01</t>
  </si>
  <si>
    <t>153.205(g)(5)</t>
  </si>
  <si>
    <t>Parâmetros de medição. Classe I obrigatório se operar RBAC nº 121 em aeronave a jato</t>
  </si>
  <si>
    <t>Último relatório de medição de atrito com parâmetros conforme IS Nº 153.205-001.</t>
  </si>
  <si>
    <t>D2.2.2</t>
  </si>
  <si>
    <t>153262.01</t>
  </si>
  <si>
    <t>153.205(g)(2)</t>
  </si>
  <si>
    <t>Frequência das medições.  Classe I obrigatório se operar RBAC nº 121 em aeronave a jato</t>
  </si>
  <si>
    <t>Último relatório de medição de atrito  conforme Tabela 153.205-2 ou valor da tabela acrescido para AD enquadrados no 153.205(g)(3).</t>
  </si>
  <si>
    <t>D2.2.3</t>
  </si>
  <si>
    <t>153265.03</t>
  </si>
  <si>
    <t>153.205(g)(7)</t>
  </si>
  <si>
    <t>Publicação de NOTAM (atrito menor que o mínimo).  Classe I obrigatório se operar RBAC nº 121 em aeronave a jato</t>
  </si>
  <si>
    <t>Evidência da publicação, se o resultado for inferior ao da Coluna [7] da Tabela 2 da IS 153-205-001</t>
  </si>
  <si>
    <t>D2.2.4</t>
  </si>
  <si>
    <t>153261.03</t>
  </si>
  <si>
    <t>153.205(g)(1)</t>
  </si>
  <si>
    <t>Envio do resultado das medições para ANAC.  Classe I obrigatório se operar RBAC nº 121 em aeronave a jato</t>
  </si>
  <si>
    <t>Protocolo do último relatório em até 15 dias após a conclusão.</t>
  </si>
  <si>
    <t>D2.2.5</t>
  </si>
  <si>
    <t>153264.01</t>
  </si>
  <si>
    <t>153.205(g)(6)</t>
  </si>
  <si>
    <t xml:space="preserve"> Informa ações para reestabelecer.  Classe I obrigatório se operar RBAC nº 121 em aeronave a jato</t>
  </si>
  <si>
    <t>Informado em conjunto com o relatório, se o resultado for inferior ao da Coluna [6] da Tabela 2 da IS 153-205-001. Ex.: Remoção de borracha.</t>
  </si>
  <si>
    <t>D2.2.6</t>
  </si>
  <si>
    <t>153265.01</t>
  </si>
  <si>
    <t>Ações para garantia da segurança (atrito menor que o mínimo).  Classe I obrigatório se operar RBAC nº 121 em aeronave a jato</t>
  </si>
  <si>
    <t>Informado em conjunto com o relatório, se o resultado for inferior ao da Coluna [7] da Tabela 2 da IS 153-205-001</t>
  </si>
  <si>
    <t>D2.2.7</t>
  </si>
  <si>
    <t>B</t>
  </si>
  <si>
    <t>Todos</t>
  </si>
  <si>
    <t>-</t>
  </si>
  <si>
    <t>153.205(e)(2) + IS 153-002</t>
  </si>
  <si>
    <t>Inspeção da pista de pouso e decolagem visualmente sob condições de chuva natural ou simulada com vistas a identificar a presença de poças ou condição de drenagem deficiente.</t>
  </si>
  <si>
    <t>Evidências de inspeção em condições (naturais ou simuladas) de chuva. A profundidade média de água não deve exceder 3 mm (três milímetros) numa região de 150 m de comprimento por 12 m de largura na porção central em relação ao eixo da pista.</t>
  </si>
  <si>
    <t>6.14
6.15</t>
  </si>
  <si>
    <t>D2.2.3 Monitoramento da macrotextura</t>
  </si>
  <si>
    <t>D2.3.1</t>
  </si>
  <si>
    <t>153268.01</t>
  </si>
  <si>
    <t>153.205(h)(3)</t>
  </si>
  <si>
    <t>Último relatório de medição de macrotextura com parâmetros conforme Tabela 153.205-4.</t>
  </si>
  <si>
    <t>D2.3.2</t>
  </si>
  <si>
    <t>153267.01</t>
  </si>
  <si>
    <t>153.205(h)(2)</t>
  </si>
  <si>
    <t>Frequência das medições. Classe I obrigatório se operar RBAC nº 121 em aeronave a jato</t>
  </si>
  <si>
    <t>Último relatório de medição de macrotextura conforme Tabela 153.205-3.</t>
  </si>
  <si>
    <t>D2.3.3</t>
  </si>
  <si>
    <t>153270.02</t>
  </si>
  <si>
    <t>153.205(h)(6)</t>
  </si>
  <si>
    <t>Ações para garantia da segurança. Classe I obrigatório se operar RBAC nº 121 em aeronave a jato</t>
  </si>
  <si>
    <t>Informado em conjunto com o relatório, se a profundidade média for inferior a 0,6 mm.</t>
  </si>
  <si>
    <t>D2.3.4</t>
  </si>
  <si>
    <t>153270.03</t>
  </si>
  <si>
    <t>Avaliação da profundidade média de água na RWY. Classe I obrigatório se operar RBAC nº 121 em aeronave a jato</t>
  </si>
  <si>
    <t>Evidências documentais da realização de avaliação para verificar se a profundidade média de água excede 3 mm (três milímetros) em uma região de 150 m (cento e cinquenta metros) de comprimento por 12 m (doze metros) de largura na porção central em relação ao eixo da pista.
Caso a profundidade da macrotextura seja inferior à profundidade mínima.</t>
  </si>
  <si>
    <t>D2.3.5</t>
  </si>
  <si>
    <t>153266.03</t>
  </si>
  <si>
    <t>153.205(h)(1)</t>
  </si>
  <si>
    <t>Envio do resultado das medições para ANAC. Classe I obrigatório se operar RBAC nº 121 em aeronave a jato</t>
  </si>
  <si>
    <t>D2.3.6</t>
  </si>
  <si>
    <t>153269.01</t>
  </si>
  <si>
    <t>153.205(h)(5)</t>
  </si>
  <si>
    <t>Relatório conforme orientação da IS</t>
  </si>
  <si>
    <t>Último relatório de medição de macrotextura conforme IS Nº 153.205-001.</t>
  </si>
  <si>
    <t>D2.3.7</t>
  </si>
  <si>
    <t>153270.01</t>
  </si>
  <si>
    <t>Informa à ANAC ações para reestabelecer a profundidade mínima. Classe I obrigatório se operar RBAC nº 121 em aeronave a jato</t>
  </si>
  <si>
    <t>Informado em conjunto com o relatório, se a profundidade média for inferor a 0,6 mm.</t>
  </si>
  <si>
    <t>D2.2.4 Avaliação e acompanhamento dos defeitos leves no pavimento</t>
  </si>
  <si>
    <t>D2.4.1</t>
  </si>
  <si>
    <t>153.203(b)(2)(ii)</t>
  </si>
  <si>
    <t>RWY. Classe I obrigatório se operar RBAC nº 135 ao público regular ou RBAC nº 121</t>
  </si>
  <si>
    <t>Evidências documentais de que os defeitos leves no pavimento foram avaliados e estão sendo acompanhados.</t>
  </si>
  <si>
    <t>7.1</t>
  </si>
  <si>
    <t>D2.4.2</t>
  </si>
  <si>
    <t>TWY. Classe I obrigatório se operar RBAC nº 135 ao público regular ou RBAC nº 121</t>
  </si>
  <si>
    <t>D2.4.3</t>
  </si>
  <si>
    <t>Pátio de aeronaves. Classe I obrigatório se operar RBAC nº 135 ao público regular ou RBAC nº 121</t>
  </si>
  <si>
    <t>D2.2.5 Sist. de Gerenciamento de Pavimentos Aeroportuários (SGPA)</t>
  </si>
  <si>
    <t>D2.5.1</t>
  </si>
  <si>
    <t>IV</t>
  </si>
  <si>
    <t>153139.01</t>
  </si>
  <si>
    <t>153.203(c) + MSGPA</t>
  </si>
  <si>
    <t>Mapeamento das patologias</t>
  </si>
  <si>
    <t>Evidências documentais do mapeamento das patologias</t>
  </si>
  <si>
    <t>D2.5.2</t>
  </si>
  <si>
    <t>Inventário Croqui da rede de pavimentos</t>
  </si>
  <si>
    <t>1) Localização e identificação da rede; 2) Classe do pavimento (Pista de Pouso e Decolagem, Pista de Táxi ou Pátio); 3) Geometria transversal e longitudinal; 4) Materiais e espessuras das camadas; 5) Histórico de construção; 6) Histórico de manutenção e reabilitação; e 7) Condição do sistema de drenagem e da sinalização</t>
  </si>
  <si>
    <t>D2.2.6 Outros itens de avaliação de monitoramento de pavimento</t>
  </si>
  <si>
    <t>D2.6.1</t>
  </si>
  <si>
    <t>153271.01</t>
  </si>
  <si>
    <t>153.205(i)</t>
  </si>
  <si>
    <t>Frequência da remoção de borracha. Classe I obrigatório se operar RBAC nº 121 em aeronave a jato</t>
  </si>
  <si>
    <t>Últimos três registros de remoção demonstram frequência mínima definida na Tabela 153.205-5, quando o coeficiente de atrito for inferior ao nível de manutenção.</t>
  </si>
  <si>
    <t>D2.6.2</t>
  </si>
  <si>
    <t>153138.01</t>
  </si>
  <si>
    <t>153.203(b)(4)(iii)</t>
  </si>
  <si>
    <t>Monitoramento regular das juntas de pavimento. Classe I obrigatório se operar RBAC nº 135 ao público regular ou RBAC nº 121</t>
  </si>
  <si>
    <t>Registros do monitoramento regular das juntas conforme procedimento do MOPS</t>
  </si>
  <si>
    <t>D2.6.3</t>
  </si>
  <si>
    <t>153.203(b)(1)(i)(A)(1)</t>
  </si>
  <si>
    <t xml:space="preserve">Avaliação estrutural do pavimento. Classe I obrigatório se operar RBAC nº 121 </t>
  </si>
  <si>
    <t xml:space="preserve">Quando identificado risco à segurança operacional por meio de seu gerenciamento de risco ou pela ANAC. </t>
  </si>
  <si>
    <t>7.1 (b)</t>
  </si>
  <si>
    <t>D2.2.7 Monitoramento do índice de serventia do pavimento (PCI)</t>
  </si>
  <si>
    <t>D2.7.1</t>
  </si>
  <si>
    <t>153256.01</t>
  </si>
  <si>
    <t>153.203(b)</t>
  </si>
  <si>
    <t>Frequência das medições. Classe I obrigatório se operar RBAC nº 135 ao público regular ou RBAC nº 121</t>
  </si>
  <si>
    <t>Relatório contendo as medições
Frequências das medições:
RWY - Classe 1 e 2: 24 meses / Classe 3: 18 meses / Classe 4: 12 meses
TWY/Pátio - Classe 1 e 2: 48 meses / Classe 3: 36 meses / Classe 4: 24 meses</t>
  </si>
  <si>
    <t>D2.7.2</t>
  </si>
  <si>
    <t>153255.03</t>
  </si>
  <si>
    <t>153.203(b)
IS 153.203-001
Item 6.2.1.3</t>
  </si>
  <si>
    <t>Envio do resultado das medições para ANAC. Classe I obrigatório se operar RBAC nº 135 ao público regular ou RBAC nº 121</t>
  </si>
  <si>
    <t>Protocolo do último relatório em até 60 dias após a conclusão. Conteúdo do relatório atende o mínimo do item 6.2.1.3 da IS 153.203-001?</t>
  </si>
  <si>
    <t>D2.7.3</t>
  </si>
  <si>
    <t>153255.02</t>
  </si>
  <si>
    <t>153.203(b)
IS 153.203-001
Item 6.2.1.3(n)</t>
  </si>
  <si>
    <t>Estabelece as intervenções a serem realizadas no pavimento / plano de Manutenção e Restauração do pavimento. Classe I obrigatório se operar RBAC nº 135 ao público regular ou RBAC nº 121</t>
  </si>
  <si>
    <t>Evidências de realização das ações de acordo com os resultados dos níveis de PCI e as as medidas propostas de priorização e intervenções a serem realizadas, em linha com a previsão da condição futura do pavimento</t>
  </si>
  <si>
    <t>D2.3. Monitoramento - Demais Áreas</t>
  </si>
  <si>
    <t>D2.3.1 Auxílios Visuais</t>
  </si>
  <si>
    <t>D3.3.1</t>
  </si>
  <si>
    <t>153.201(c)(1)</t>
  </si>
  <si>
    <t>Inspeções regulares</t>
  </si>
  <si>
    <t>Evidências documentais do monitoramento, conforme procedimento descrito no MOPS.</t>
  </si>
  <si>
    <t>D3.3.2</t>
  </si>
  <si>
    <t>Todas</t>
  </si>
  <si>
    <t>153.217(d)(1)(iv)</t>
  </si>
  <si>
    <t>Manutenção preventiva e recuperação da sinalização horizontal</t>
  </si>
  <si>
    <t>Evidências documentais de realização das manutenções (OS, fotografias, vídeos)</t>
  </si>
  <si>
    <t>D3.3.3</t>
  </si>
  <si>
    <t>153.217(f)(2)</t>
  </si>
  <si>
    <t>Monitoramento e manutenção preventiva de sinalização vertical. Classe I obrigatório se operar RBAC nº 121</t>
  </si>
  <si>
    <t>D3.3.4</t>
  </si>
  <si>
    <t>An. 14 - 10.5.3(a)</t>
  </si>
  <si>
    <t>Medidas de intensidade, orientação e espalhamento do feixe das luzes</t>
  </si>
  <si>
    <t>Relatório de testes para luzes incluídas na aproximação e balizamento da RWY (com equipametnos adequados).</t>
  </si>
  <si>
    <t>6.2.2
6.3.2</t>
  </si>
  <si>
    <t>D3.3.5</t>
  </si>
  <si>
    <t>An. 14 - 10.5.3(c)</t>
  </si>
  <si>
    <t>Verifcação dos níveis de intensidade controlados pela TWR</t>
  </si>
  <si>
    <t>Relatório de testes de nivel de intensidade para o balizamento da RWY</t>
  </si>
  <si>
    <t>D2.3.2 Demais Áreas</t>
  </si>
  <si>
    <t>D3.2.1</t>
  </si>
  <si>
    <t>Inspeções regulares de Áreas-não pavimentadas</t>
  </si>
  <si>
    <t>D3.2.2</t>
  </si>
  <si>
    <t>Inspeções regulares de Sistema de drenagem</t>
  </si>
  <si>
    <t>D3.2.3</t>
  </si>
  <si>
    <t>Inspeções regulares das Áreas verdes</t>
  </si>
  <si>
    <t>D3.2.4</t>
  </si>
  <si>
    <t>Inspeções regulares do Sistema elétrico</t>
  </si>
  <si>
    <t>D3.2.5</t>
  </si>
  <si>
    <t>153.219(d)</t>
  </si>
  <si>
    <t>Monitoramento e manutenção preventiva para os circuitos e componentes dos sistemas elétricos</t>
  </si>
  <si>
    <t>Evidências documentais do monitoramento, conforme procedimento descrito no MOPS. Ordens de serviço de manutenções preventiva, conforme periodicidades descrita no MOPS do aeroporto</t>
  </si>
  <si>
    <t>D3.2.6</t>
  </si>
  <si>
    <t>Alerta aos Operadores 
nº 02/2023</t>
  </si>
  <si>
    <t>Monitoramento, testes e manutenção dos sistemas elétricos (Fonte de energia, Circuitos, RCC e SPDA)</t>
  </si>
  <si>
    <t>Evidências documentais de que são realizadas as recomendações contidas no Alerta aos Operadores de Aeródromo nº 02/2022</t>
  </si>
  <si>
    <t>D3.2.7</t>
  </si>
  <si>
    <t>Inspeções regulares do Sistema de proteção da área operacional</t>
  </si>
  <si>
    <t>D3.2.8</t>
  </si>
  <si>
    <t>Inspeções regulares dos Equipamentos e veículos</t>
  </si>
  <si>
    <t>D3.2.9</t>
  </si>
  <si>
    <t>153.223(a)(2)(ii)</t>
  </si>
  <si>
    <t xml:space="preserve">Monitoramento e manutenção dos Equipamentos e veículos, conforme especificações e orientações do fabricante </t>
  </si>
  <si>
    <t>D3.2.10</t>
  </si>
  <si>
    <t>153.201(c)(2)</t>
  </si>
  <si>
    <t>Manutenção preventiva</t>
  </si>
  <si>
    <t>Ordens de serviço de manutenções preventivas, conforme periodicidades descrita no MOPS do aeroporto.</t>
  </si>
  <si>
    <t>D3.2.11</t>
  </si>
  <si>
    <t>Inspeções regulares da Sinalização viária</t>
  </si>
  <si>
    <t xml:space="preserve">Resultado final DOCS MNT
</t>
  </si>
  <si>
    <t>Desempenho final</t>
  </si>
  <si>
    <t>Menção final</t>
  </si>
  <si>
    <t>Listas suspensas</t>
  </si>
  <si>
    <t>Inexistente</t>
  </si>
  <si>
    <t>Presente</t>
  </si>
  <si>
    <t>Adequado</t>
  </si>
  <si>
    <t>Operacional</t>
  </si>
  <si>
    <t>Efetivo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</si>
</sst>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indexed="81"/>
      <name val="Segoe UI"/>
      <family val="2"/>
    </font>
    <font>
      <sz val="9"/>
      <color indexed="81"/>
      <name val="Segoe UI"/>
      <family val="2"/>
    </font>
    <font>
      <sz val="11"/>
      <name val="Calibri"/>
      <family val="2"/>
      <scheme val="minor"/>
    </font>
    <font>
      <b/>
      <sz val="11"/>
      <name val="Calibri"/>
      <family val="2"/>
      <scheme val="minor"/>
    </font>
    <font>
      <sz val="11"/>
      <color rgb="FFFF0000"/>
      <name val="Calibri"/>
      <family val="2"/>
      <scheme val="minor"/>
    </font>
    <font>
      <b/>
      <sz val="11"/>
      <color rgb="FF333333"/>
      <name val="Calibri"/>
      <family val="2"/>
      <scheme val="minor"/>
    </font>
    <font>
      <b/>
      <sz val="9"/>
      <color indexed="23"/>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119">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8" fillId="0" borderId="0" xfId="0" applyFont="1"/>
    <xf numFmtId="0" fontId="3" fillId="0" borderId="5" xfId="0" applyFont="1" applyBorder="1" applyAlignment="1">
      <alignment horizontal="center" vertical="center"/>
    </xf>
    <xf numFmtId="0" fontId="10" fillId="0" borderId="5" xfId="0" applyFont="1" applyBorder="1" applyAlignment="1">
      <alignment horizontal="center" vertical="center"/>
    </xf>
    <xf numFmtId="0" fontId="3" fillId="0" borderId="6" xfId="0" applyFont="1" applyBorder="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xf>
    <xf numFmtId="9" fontId="2" fillId="0" borderId="6" xfId="0" applyNumberFormat="1" applyFont="1" applyBorder="1" applyAlignment="1">
      <alignment horizontal="center" vertical="center"/>
    </xf>
    <xf numFmtId="0" fontId="2" fillId="0" borderId="6" xfId="0" applyFont="1" applyBorder="1" applyAlignment="1">
      <alignment horizontal="center"/>
    </xf>
    <xf numFmtId="165" fontId="3" fillId="0" borderId="6" xfId="0" applyNumberFormat="1"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6" fillId="0" borderId="6" xfId="0" applyFont="1" applyBorder="1" applyAlignment="1">
      <alignment horizontal="left" vertical="center" indent="1"/>
    </xf>
    <xf numFmtId="0" fontId="5" fillId="0" borderId="6" xfId="0" applyFont="1" applyBorder="1" applyAlignment="1">
      <alignment horizontal="left" vertical="center" indent="2"/>
    </xf>
    <xf numFmtId="0" fontId="3" fillId="0" borderId="6" xfId="0" applyFont="1" applyBorder="1" applyAlignment="1">
      <alignment horizontal="center"/>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3" fillId="0" borderId="6" xfId="0" applyFont="1" applyBorder="1" applyAlignment="1">
      <alignment vertical="center" wrapText="1"/>
    </xf>
    <xf numFmtId="0" fontId="6" fillId="0" borderId="5" xfId="0" applyFont="1" applyBorder="1" applyAlignment="1">
      <alignment horizontal="left" vertical="center" indent="1"/>
    </xf>
    <xf numFmtId="9" fontId="3" fillId="0" borderId="0" xfId="1" applyFont="1" applyAlignment="1">
      <alignment horizontal="center" vertic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1"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1" fillId="0" borderId="1" xfId="0" applyFont="1" applyBorder="1" applyAlignment="1">
      <alignment vertical="center"/>
    </xf>
    <xf numFmtId="9" fontId="0" fillId="0" borderId="1" xfId="0" applyNumberFormat="1" applyBorder="1" applyAlignment="1">
      <alignment horizontal="left" vertical="center" wrapText="1" indent="1"/>
    </xf>
    <xf numFmtId="0" fontId="11"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9" fillId="0" borderId="0" xfId="0" applyFont="1" applyAlignment="1" applyProtection="1">
      <alignment vertical="center" wrapText="1"/>
      <protection locked="0"/>
    </xf>
    <xf numFmtId="0" fontId="5" fillId="6" borderId="0" xfId="0" applyFont="1" applyFill="1" applyAlignment="1">
      <alignment horizontal="center" vertical="center"/>
    </xf>
    <xf numFmtId="0" fontId="3" fillId="0" borderId="0" xfId="0" applyFont="1"/>
    <xf numFmtId="164" fontId="3" fillId="0" borderId="0" xfId="0" applyNumberFormat="1" applyFont="1" applyAlignment="1">
      <alignment horizontal="center" vertical="center"/>
    </xf>
    <xf numFmtId="0" fontId="2" fillId="0" borderId="0" xfId="0" applyFont="1" applyAlignment="1">
      <alignment horizontal="center" vertical="center" wrapText="1"/>
    </xf>
    <xf numFmtId="165" fontId="6" fillId="0" borderId="5" xfId="1" applyNumberFormat="1" applyFont="1" applyFill="1" applyBorder="1" applyAlignment="1">
      <alignment horizontal="center" vertical="center" wrapText="1"/>
    </xf>
    <xf numFmtId="0" fontId="3" fillId="0" borderId="6" xfId="0" applyFont="1" applyBorder="1" applyAlignment="1">
      <alignment vertical="center"/>
    </xf>
    <xf numFmtId="9" fontId="3" fillId="0" borderId="0" xfId="1" applyFont="1" applyFill="1" applyAlignment="1">
      <alignment horizontal="center" vertical="center"/>
    </xf>
    <xf numFmtId="0" fontId="3" fillId="5" borderId="0" xfId="0" applyFont="1" applyFill="1" applyAlignment="1">
      <alignment vertical="center" wrapText="1"/>
    </xf>
    <xf numFmtId="0" fontId="0" fillId="0" borderId="1" xfId="0" applyBorder="1" applyAlignment="1">
      <alignment horizontal="center" vertical="center"/>
    </xf>
    <xf numFmtId="0" fontId="0" fillId="0" borderId="0" xfId="0" applyAlignment="1">
      <alignment vertical="center" wrapText="1"/>
    </xf>
    <xf numFmtId="0" fontId="16" fillId="0" borderId="1" xfId="0" applyFont="1" applyBorder="1" applyAlignment="1">
      <alignment horizontal="center" vertical="center"/>
    </xf>
    <xf numFmtId="0" fontId="11" fillId="0" borderId="0" xfId="0" applyFont="1" applyAlignment="1">
      <alignment vertical="center"/>
    </xf>
    <xf numFmtId="0" fontId="0" fillId="0" borderId="0" xfId="0" applyAlignment="1">
      <alignment horizontal="center"/>
    </xf>
    <xf numFmtId="0" fontId="11" fillId="0" borderId="0" xfId="0" applyFont="1" applyAlignment="1">
      <alignment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0" fillId="0" borderId="0" xfId="0" applyAlignment="1">
      <alignment vertical="center"/>
    </xf>
    <xf numFmtId="0" fontId="0" fillId="0" borderId="0" xfId="0" applyAlignment="1">
      <alignment wrapText="1"/>
    </xf>
    <xf numFmtId="0" fontId="11" fillId="0" borderId="0" xfId="0" applyFont="1" applyAlignment="1">
      <alignment horizontal="center" vertical="center"/>
    </xf>
    <xf numFmtId="0" fontId="11" fillId="5" borderId="0" xfId="0" applyFont="1" applyFill="1" applyAlignment="1">
      <alignment vertical="center" wrapText="1"/>
    </xf>
    <xf numFmtId="0" fontId="18" fillId="0" borderId="0" xfId="0" applyFont="1" applyAlignment="1">
      <alignment horizontal="center" vertical="center"/>
    </xf>
    <xf numFmtId="0" fontId="11" fillId="0" borderId="0" xfId="0" applyFont="1" applyAlignment="1">
      <alignment horizontal="left" vertical="center" wrapText="1" indent="1"/>
    </xf>
    <xf numFmtId="0" fontId="17" fillId="0" borderId="0" xfId="0" applyFont="1" applyAlignment="1">
      <alignment vertical="top" wrapText="1"/>
    </xf>
    <xf numFmtId="0" fontId="17" fillId="0" borderId="0" xfId="0" applyFont="1" applyAlignment="1">
      <alignment horizontal="center" vertical="center" wrapText="1"/>
    </xf>
    <xf numFmtId="0" fontId="19" fillId="0" borderId="0" xfId="0" applyFont="1" applyAlignment="1" applyProtection="1">
      <alignment vertical="center" wrapText="1"/>
      <protection locked="0"/>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2" fillId="0" borderId="0" xfId="0" applyFont="1" applyAlignment="1">
      <alignment horizontal="left" vertical="center" indent="2"/>
    </xf>
    <xf numFmtId="0" fontId="3" fillId="0" borderId="1" xfId="0" applyFont="1" applyBorder="1" applyAlignment="1">
      <alignment horizontal="center" vertical="center" wrapText="1"/>
    </xf>
    <xf numFmtId="0" fontId="6" fillId="4" borderId="1" xfId="0" applyFont="1" applyFill="1" applyBorder="1" applyAlignment="1">
      <alignment vertical="center" wrapText="1"/>
    </xf>
    <xf numFmtId="0" fontId="3" fillId="2" borderId="1" xfId="0" applyFont="1" applyFill="1" applyBorder="1" applyAlignment="1">
      <alignment horizontal="left" vertical="center" wrapText="1"/>
    </xf>
    <xf numFmtId="0" fontId="2" fillId="0" borderId="2" xfId="0" applyFont="1" applyBorder="1" applyAlignment="1">
      <alignment horizontal="left" vertical="center" wrapText="1"/>
    </xf>
    <xf numFmtId="0" fontId="20" fillId="0" borderId="0" xfId="0" applyFont="1" applyAlignment="1">
      <alignment vertical="center" wrapText="1"/>
    </xf>
    <xf numFmtId="0" fontId="2" fillId="0" borderId="1" xfId="0" applyFont="1" applyBorder="1" applyAlignment="1">
      <alignment horizontal="center" vertical="center" wrapText="1"/>
    </xf>
    <xf numFmtId="0" fontId="3" fillId="4" borderId="1" xfId="0" applyFont="1" applyFill="1" applyBorder="1" applyAlignment="1">
      <alignment vertical="center" wrapText="1"/>
    </xf>
    <xf numFmtId="0" fontId="2" fillId="6"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2" fillId="7" borderId="1" xfId="0" applyFont="1" applyFill="1" applyBorder="1" applyAlignment="1" applyProtection="1">
      <alignment horizontal="left" vertical="center" wrapText="1"/>
      <protection locked="0"/>
    </xf>
    <xf numFmtId="0" fontId="5" fillId="7" borderId="1" xfId="0" applyFont="1" applyFill="1" applyBorder="1" applyAlignment="1">
      <alignment horizontal="left" vertical="center" wrapText="1"/>
    </xf>
    <xf numFmtId="0" fontId="0" fillId="7" borderId="1" xfId="0" applyFill="1" applyBorder="1" applyAlignment="1" applyProtection="1">
      <alignment horizontal="center" vertical="center"/>
      <protection locked="0"/>
    </xf>
    <xf numFmtId="9" fontId="0" fillId="7" borderId="1" xfId="1" applyFont="1" applyFill="1" applyBorder="1" applyAlignment="1" applyProtection="1">
      <alignment horizontal="center" vertical="center"/>
      <protection locked="0"/>
    </xf>
    <xf numFmtId="0" fontId="2" fillId="7" borderId="1" xfId="0" applyFont="1" applyFill="1" applyBorder="1" applyAlignment="1" applyProtection="1">
      <alignment horizontal="center" vertical="center"/>
      <protection locked="0"/>
    </xf>
    <xf numFmtId="9" fontId="2" fillId="7" borderId="1" xfId="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5" fillId="7" borderId="3"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left" vertical="center" wrapText="1"/>
      <protection locked="0"/>
    </xf>
    <xf numFmtId="14" fontId="5" fillId="7" borderId="3" xfId="0" applyNumberFormat="1" applyFont="1" applyFill="1" applyBorder="1" applyAlignment="1" applyProtection="1">
      <alignment horizontal="left" vertical="center" wrapText="1"/>
      <protection locked="0"/>
    </xf>
    <xf numFmtId="0" fontId="11" fillId="5" borderId="3"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2" xfId="0" applyFont="1" applyBorder="1" applyAlignment="1">
      <alignment horizontal="left" vertical="center" wrapText="1"/>
    </xf>
    <xf numFmtId="0" fontId="3" fillId="0" borderId="0" xfId="0" applyFont="1" applyAlignment="1">
      <alignment horizontal="left" vertical="center"/>
    </xf>
    <xf numFmtId="0" fontId="11" fillId="0" borderId="1" xfId="0" applyFont="1" applyBorder="1" applyAlignment="1">
      <alignment horizontal="center" vertical="center"/>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9" fillId="0" borderId="0" xfId="0" applyFont="1" applyAlignment="1">
      <alignment horizontal="left" vertical="center" wrapText="1" indent="1"/>
    </xf>
    <xf numFmtId="0" fontId="16" fillId="0" borderId="6" xfId="0" applyFont="1" applyBorder="1" applyAlignment="1">
      <alignment horizontal="left" vertical="center" wrapText="1"/>
    </xf>
    <xf numFmtId="0" fontId="6" fillId="0" borderId="0" xfId="0" applyFont="1" applyAlignment="1">
      <alignment horizontal="center" vertical="top"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7" fillId="0" borderId="0" xfId="0" applyFont="1" applyAlignment="1">
      <alignment horizontal="center" vertical="top"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left" vertical="center"/>
    </xf>
    <xf numFmtId="0" fontId="9"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9C5708AD-C9E3-4D6F-A876-5F3D3B36D106}"/>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EF9CD880-D503-4CB7-AEBC-25D325CEB3ED}"/>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DBD7CC97-E110-4679-A4BA-849139D24F9B}"/>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3156EED2-F160-4F3C-AB12-BFEF9141D0AB}"/>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81696330-43D0-406B-909D-4BEA4FE89116}"/>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8DE0DB58-FD3A-4C1C-B332-154B4E11236A}"/>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D9D48657-8FF0-4C2E-9257-65720E438619}"/>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12DD53BF-9345-402E-A63C-362774792FFC}"/>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199D9AD0-02DE-4C35-A361-A2A8E1B3C379}"/>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D9E477AD-609F-4C35-BF1A-D4657E4D90CD}"/>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068ABEC2-2EF7-41FA-88EC-B54BB3D713CB}"/>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82714626-F42E-4A4B-A4D3-CA3593E68ED9}"/>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11FACCE9-B1D6-4836-B2D4-FE94A312971F}"/>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07B42977-5463-49C8-B1E7-C3BEF1A9B43C}"/>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E3B8175C-3FC1-4908-8D38-85DA6B9E69A8}"/>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12952A64-00A4-48C4-BFA5-670902B8B854}"/>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6ADA2556-D800-4EE7-B3BD-0C296E0761E7}"/>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C4C7AF81-0B71-4F01-A687-86C672FB3201}"/>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3514725</xdr:colOff>
      <xdr:row>4</xdr:row>
      <xdr:rowOff>66675</xdr:rowOff>
    </xdr:from>
    <xdr:to>
      <xdr:col>11</xdr:col>
      <xdr:colOff>800100</xdr:colOff>
      <xdr:row>8</xdr:row>
      <xdr:rowOff>44450</xdr:rowOff>
    </xdr:to>
    <xdr:pic>
      <xdr:nvPicPr>
        <xdr:cNvPr id="2" name="Imagem 1">
          <a:extLst>
            <a:ext uri="{FF2B5EF4-FFF2-40B4-BE49-F238E27FC236}">
              <a16:creationId xmlns:a16="http://schemas.microsoft.com/office/drawing/2014/main" id="{F74FD066-0EDF-4BA2-8AEB-C0D1C2ED442A}"/>
            </a:ext>
          </a:extLst>
        </xdr:cNvPr>
        <xdr:cNvPicPr>
          <a:picLocks noChangeAspect="1"/>
        </xdr:cNvPicPr>
      </xdr:nvPicPr>
      <xdr:blipFill>
        <a:blip xmlns:r="http://schemas.openxmlformats.org/officeDocument/2006/relationships" r:embed="rId1"/>
        <a:stretch>
          <a:fillRect/>
        </a:stretch>
      </xdr:blipFill>
      <xdr:spPr>
        <a:xfrm>
          <a:off x="9963150" y="695325"/>
          <a:ext cx="1209675" cy="781050"/>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EB51-3E9C-42BF-9010-F8B1F71BEE9B}">
  <sheetPr>
    <tabColor theme="2" tint="-0.499984740745262"/>
  </sheetPr>
  <dimension ref="B1:C11"/>
  <sheetViews>
    <sheetView showGridLines="0" topLeftCell="A4" zoomScale="90" zoomScaleNormal="90" workbookViewId="0">
      <selection activeCell="C5" sqref="C5"/>
    </sheetView>
  </sheetViews>
  <sheetFormatPr defaultRowHeight="14.5" x14ac:dyDescent="0.35"/>
  <cols>
    <col min="1" max="1" width="2.54296875" customWidth="1"/>
    <col min="2" max="2" width="44.1796875" bestFit="1" customWidth="1"/>
    <col min="3" max="3" width="150.26953125" customWidth="1"/>
    <col min="4" max="4" width="3.7265625" customWidth="1"/>
  </cols>
  <sheetData>
    <row r="1" spans="2:3" ht="6.75" customHeight="1" x14ac:dyDescent="0.35"/>
    <row r="2" spans="2:3" ht="79.5" customHeight="1" x14ac:dyDescent="0.35">
      <c r="B2" s="99" t="s">
        <v>0</v>
      </c>
      <c r="C2" s="100"/>
    </row>
    <row r="3" spans="2:3" ht="6.75" customHeight="1" x14ac:dyDescent="0.35"/>
    <row r="4" spans="2:3" ht="275.5" x14ac:dyDescent="0.35">
      <c r="B4" s="101" t="s">
        <v>1</v>
      </c>
      <c r="C4" s="39" t="s">
        <v>2</v>
      </c>
    </row>
    <row r="5" spans="2:3" ht="217.5" x14ac:dyDescent="0.35">
      <c r="B5" s="102"/>
      <c r="C5" s="40" t="s">
        <v>3</v>
      </c>
    </row>
    <row r="6" spans="2:3" x14ac:dyDescent="0.35">
      <c r="B6" s="41" t="s">
        <v>4</v>
      </c>
      <c r="C6" s="42" t="s">
        <v>5</v>
      </c>
    </row>
    <row r="7" spans="2:3" x14ac:dyDescent="0.35">
      <c r="B7" s="41" t="s">
        <v>6</v>
      </c>
      <c r="C7" s="42" t="s">
        <v>7</v>
      </c>
    </row>
    <row r="8" spans="2:3" ht="49.5" customHeight="1" x14ac:dyDescent="0.35">
      <c r="B8" s="41" t="s">
        <v>8</v>
      </c>
      <c r="C8" s="42" t="s">
        <v>9</v>
      </c>
    </row>
    <row r="9" spans="2:3" ht="130.5" x14ac:dyDescent="0.35">
      <c r="B9" s="41" t="s">
        <v>10</v>
      </c>
      <c r="C9" s="42" t="s">
        <v>11</v>
      </c>
    </row>
    <row r="10" spans="2:3" ht="43.5" x14ac:dyDescent="0.35">
      <c r="B10" s="43" t="s">
        <v>12</v>
      </c>
      <c r="C10" s="44" t="s">
        <v>13</v>
      </c>
    </row>
    <row r="11" spans="2:3" ht="30" customHeight="1" x14ac:dyDescent="0.35">
      <c r="B11" s="45" t="s">
        <v>14</v>
      </c>
      <c r="C11" s="46" t="s">
        <v>15</v>
      </c>
    </row>
  </sheetData>
  <sheetProtection algorithmName="SHA-512" hashValue="wm+cKnLXOM6XpR8psBnXcKdM0QxUg5uqxPlPpW/1pMDwZI6fqD1QTNXlaNZ/CS7RJSwvM+0W9xAWjJmDI91lsw==" saltValue="9nEb2mG78vRs6JAt56KSbQ=="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11531-4B9A-405A-BEB3-01C4A90291CF}">
  <sheetPr>
    <tabColor theme="4" tint="0.39997558519241921"/>
  </sheetPr>
  <dimension ref="B1:W123"/>
  <sheetViews>
    <sheetView showGridLines="0" tabSelected="1" zoomScale="85" zoomScaleNormal="85" workbookViewId="0">
      <selection activeCell="M16" sqref="M16"/>
    </sheetView>
  </sheetViews>
  <sheetFormatPr defaultColWidth="9.1796875" defaultRowHeight="12" x14ac:dyDescent="0.3"/>
  <cols>
    <col min="1" max="1" width="1.26953125" style="1" customWidth="1"/>
    <col min="2" max="2" width="0.81640625" style="1" customWidth="1"/>
    <col min="3" max="3" width="6.26953125" style="2" bestFit="1" customWidth="1"/>
    <col min="4" max="4" width="4.453125" style="2" hidden="1" customWidth="1"/>
    <col min="5" max="5" width="4" style="2" bestFit="1" customWidth="1"/>
    <col min="6" max="6" width="15.453125" style="2" customWidth="1"/>
    <col min="7" max="7" width="15.453125" style="2" hidden="1" customWidth="1"/>
    <col min="8" max="8" width="18.81640625" style="2" customWidth="1"/>
    <col min="9" max="9" width="55.81640625" style="3" customWidth="1"/>
    <col min="10" max="10" width="0.7265625" style="3" customWidth="1"/>
    <col min="11" max="11" width="58.81640625" style="3" customWidth="1"/>
    <col min="12" max="12" width="12.54296875" style="3" customWidth="1"/>
    <col min="13" max="13" width="28.1796875" style="3" customWidth="1"/>
    <col min="14" max="14" width="0.54296875" style="3" customWidth="1"/>
    <col min="15" max="15" width="3.81640625" style="3" bestFit="1" customWidth="1"/>
    <col min="16" max="16" width="5.1796875" style="3" bestFit="1" customWidth="1"/>
    <col min="17" max="17" width="5.7265625" style="3" bestFit="1" customWidth="1"/>
    <col min="18" max="18" width="8.26953125" style="3" hidden="1" customWidth="1"/>
    <col min="19" max="19" width="0.81640625" style="3" hidden="1" customWidth="1"/>
    <col min="20" max="20" width="1.1796875" style="1" hidden="1" customWidth="1"/>
    <col min="21" max="21" width="1.54296875" style="1" hidden="1" customWidth="1"/>
    <col min="22" max="22" width="1.7265625" style="1" hidden="1" customWidth="1"/>
    <col min="23" max="23" width="9.26953125" style="1" hidden="1" customWidth="1"/>
    <col min="24" max="16384" width="9.1796875" style="1"/>
  </cols>
  <sheetData>
    <row r="1" spans="2:23" s="17" customFormat="1" ht="6" customHeight="1" x14ac:dyDescent="0.35">
      <c r="C1" s="47"/>
      <c r="D1" s="47"/>
      <c r="E1" s="47"/>
      <c r="F1" s="48"/>
      <c r="G1" s="47"/>
      <c r="H1" s="48"/>
      <c r="I1" s="49"/>
      <c r="J1" s="49"/>
      <c r="K1" s="49"/>
      <c r="L1" s="49"/>
      <c r="M1" s="49"/>
      <c r="N1" s="49"/>
      <c r="O1" s="49"/>
      <c r="P1" s="49"/>
      <c r="Q1" s="49"/>
      <c r="R1" s="49"/>
      <c r="S1" s="49"/>
    </row>
    <row r="2" spans="2:23" s="17" customFormat="1" ht="15" customHeight="1" x14ac:dyDescent="0.35">
      <c r="C2" s="108" t="s">
        <v>16</v>
      </c>
      <c r="D2" s="108"/>
      <c r="E2" s="108"/>
      <c r="F2" s="108"/>
      <c r="G2" s="74"/>
      <c r="H2" s="109" t="s">
        <v>17</v>
      </c>
      <c r="I2" s="109"/>
      <c r="J2" s="49"/>
      <c r="K2" s="110" t="s">
        <v>18</v>
      </c>
      <c r="L2" s="110"/>
      <c r="M2" s="110"/>
      <c r="N2" s="110"/>
      <c r="O2" s="110"/>
      <c r="P2" s="110"/>
      <c r="Q2" s="110"/>
      <c r="R2" s="50"/>
      <c r="S2" s="49"/>
    </row>
    <row r="3" spans="2:23" s="17" customFormat="1" ht="14.25" customHeight="1" x14ac:dyDescent="0.35">
      <c r="C3" s="108" t="s">
        <v>19</v>
      </c>
      <c r="D3" s="108"/>
      <c r="E3" s="108"/>
      <c r="F3" s="108"/>
      <c r="G3" s="75"/>
      <c r="H3" s="96" t="s">
        <v>20</v>
      </c>
      <c r="I3" s="97"/>
      <c r="J3" s="49"/>
      <c r="K3" s="110"/>
      <c r="L3" s="110"/>
      <c r="M3" s="110"/>
      <c r="N3" s="110"/>
      <c r="O3" s="110"/>
      <c r="P3" s="110"/>
      <c r="Q3" s="110"/>
      <c r="R3" s="28"/>
      <c r="S3" s="49"/>
    </row>
    <row r="4" spans="2:23" s="17" customFormat="1" ht="14.25" customHeight="1" x14ac:dyDescent="0.35">
      <c r="C4" s="108" t="s">
        <v>21</v>
      </c>
      <c r="D4" s="108"/>
      <c r="E4" s="108"/>
      <c r="F4" s="108"/>
      <c r="G4" s="75"/>
      <c r="H4" s="96" t="s">
        <v>22</v>
      </c>
      <c r="I4" s="97"/>
      <c r="J4" s="49"/>
      <c r="K4" s="110"/>
      <c r="L4" s="110"/>
      <c r="M4" s="110"/>
      <c r="N4" s="110"/>
      <c r="O4" s="110"/>
      <c r="P4" s="110"/>
      <c r="Q4" s="110"/>
      <c r="R4" s="28"/>
      <c r="S4" s="49"/>
    </row>
    <row r="5" spans="2:23" s="17" customFormat="1" ht="14.25" customHeight="1" x14ac:dyDescent="0.35">
      <c r="C5" s="108" t="s">
        <v>23</v>
      </c>
      <c r="D5" s="108"/>
      <c r="E5" s="108"/>
      <c r="F5" s="108"/>
      <c r="G5" s="75"/>
      <c r="H5" s="96" t="s">
        <v>24</v>
      </c>
      <c r="I5" s="97"/>
      <c r="J5" s="49"/>
      <c r="K5" s="110"/>
      <c r="L5" s="110"/>
      <c r="M5" s="110"/>
      <c r="N5" s="110"/>
      <c r="O5" s="110"/>
      <c r="P5" s="110"/>
      <c r="Q5" s="110"/>
      <c r="R5" s="28"/>
      <c r="S5" s="49"/>
    </row>
    <row r="6" spans="2:23" s="17" customFormat="1" ht="14.25" customHeight="1" x14ac:dyDescent="0.35">
      <c r="C6" s="108" t="s">
        <v>25</v>
      </c>
      <c r="D6" s="108"/>
      <c r="E6" s="108"/>
      <c r="F6" s="108"/>
      <c r="G6" s="76"/>
      <c r="H6" s="96" t="s">
        <v>26</v>
      </c>
      <c r="I6" s="97"/>
      <c r="J6" s="49"/>
      <c r="K6" s="110"/>
      <c r="L6" s="110"/>
      <c r="M6" s="110"/>
      <c r="N6" s="110"/>
      <c r="O6" s="110"/>
      <c r="P6" s="110"/>
      <c r="Q6" s="110"/>
      <c r="R6" s="51"/>
      <c r="S6" s="51"/>
    </row>
    <row r="7" spans="2:23" s="17" customFormat="1" ht="20.25" customHeight="1" x14ac:dyDescent="0.35">
      <c r="C7" s="108" t="s">
        <v>27</v>
      </c>
      <c r="D7" s="108"/>
      <c r="E7" s="108"/>
      <c r="F7" s="108"/>
      <c r="G7" s="76"/>
      <c r="H7" s="96" t="s">
        <v>28</v>
      </c>
      <c r="I7" s="97"/>
      <c r="J7" s="49"/>
      <c r="K7" s="110"/>
      <c r="L7" s="110"/>
      <c r="M7" s="110"/>
      <c r="N7" s="110"/>
      <c r="O7" s="110"/>
      <c r="P7" s="110"/>
      <c r="Q7" s="110"/>
      <c r="R7" s="51"/>
      <c r="S7" s="51"/>
    </row>
    <row r="8" spans="2:23" s="17" customFormat="1" ht="14.25" customHeight="1" x14ac:dyDescent="0.35">
      <c r="C8" s="108" t="s">
        <v>29</v>
      </c>
      <c r="D8" s="108"/>
      <c r="E8" s="108"/>
      <c r="F8" s="108"/>
      <c r="G8" s="76"/>
      <c r="H8" s="96" t="s">
        <v>30</v>
      </c>
      <c r="I8" s="97"/>
      <c r="J8" s="49"/>
      <c r="K8" s="110"/>
      <c r="L8" s="110"/>
      <c r="M8" s="110"/>
      <c r="N8" s="110"/>
      <c r="O8" s="110"/>
      <c r="P8" s="110"/>
      <c r="Q8" s="110"/>
      <c r="R8" s="51"/>
      <c r="S8" s="51"/>
    </row>
    <row r="9" spans="2:23" s="17" customFormat="1" ht="14.25" customHeight="1" x14ac:dyDescent="0.35">
      <c r="C9" s="108" t="s">
        <v>31</v>
      </c>
      <c r="D9" s="108"/>
      <c r="E9" s="108"/>
      <c r="F9" s="108"/>
      <c r="G9" s="76"/>
      <c r="H9" s="98" t="s">
        <v>32</v>
      </c>
      <c r="I9" s="97"/>
      <c r="J9" s="49"/>
      <c r="K9" s="110"/>
      <c r="L9" s="110"/>
      <c r="M9" s="110"/>
      <c r="N9" s="110"/>
      <c r="O9" s="110"/>
      <c r="P9" s="110"/>
      <c r="Q9" s="110"/>
      <c r="R9" s="51"/>
      <c r="S9" s="51"/>
    </row>
    <row r="10" spans="2:23" ht="3.75" customHeight="1" x14ac:dyDescent="0.3">
      <c r="B10" s="3"/>
      <c r="C10" s="3"/>
      <c r="D10" s="12"/>
      <c r="E10" s="3"/>
      <c r="F10" s="34"/>
      <c r="G10" s="3"/>
      <c r="H10" s="3"/>
      <c r="J10" s="6"/>
      <c r="N10" s="6"/>
      <c r="O10" s="6"/>
      <c r="P10" s="6"/>
      <c r="Q10" s="6"/>
      <c r="R10" s="6"/>
      <c r="S10" s="6"/>
    </row>
    <row r="11" spans="2:23" ht="13.5" customHeight="1" x14ac:dyDescent="0.35">
      <c r="C11" s="66" t="s">
        <v>33</v>
      </c>
      <c r="D11" s="66" t="s">
        <v>34</v>
      </c>
      <c r="E11" s="66" t="s">
        <v>35</v>
      </c>
      <c r="F11" s="66" t="s">
        <v>36</v>
      </c>
      <c r="G11" s="66" t="s">
        <v>37</v>
      </c>
      <c r="H11" s="66" t="s">
        <v>38</v>
      </c>
      <c r="I11" s="67" t="s">
        <v>39</v>
      </c>
      <c r="J11"/>
      <c r="K11" s="105" t="s">
        <v>40</v>
      </c>
      <c r="L11" s="106"/>
      <c r="M11" s="107"/>
      <c r="N11" s="65"/>
      <c r="O11" s="104" t="s">
        <v>41</v>
      </c>
      <c r="P11" s="104"/>
      <c r="Q11" s="104"/>
      <c r="R11" s="11"/>
      <c r="S11" s="6"/>
    </row>
    <row r="12" spans="2:23" ht="3" customHeight="1" x14ac:dyDescent="0.35">
      <c r="C12"/>
      <c r="D12" s="68"/>
      <c r="E12"/>
      <c r="F12" s="64"/>
      <c r="G12"/>
      <c r="H12"/>
      <c r="I12" s="69"/>
      <c r="J12"/>
      <c r="K12" s="61"/>
      <c r="L12" s="61"/>
      <c r="M12" s="61"/>
      <c r="N12" s="68"/>
      <c r="O12" s="68"/>
      <c r="P12" s="68"/>
      <c r="Q12" s="68"/>
      <c r="R12" s="1"/>
      <c r="S12" s="1"/>
    </row>
    <row r="13" spans="2:23" ht="13.5" customHeight="1" x14ac:dyDescent="0.3">
      <c r="C13" s="63"/>
      <c r="D13" s="60">
        <v>1.5</v>
      </c>
      <c r="E13" s="63"/>
      <c r="F13" s="70"/>
      <c r="G13" s="63"/>
      <c r="H13" s="63"/>
      <c r="I13" s="81" t="s">
        <v>42</v>
      </c>
      <c r="J13" s="65"/>
      <c r="K13" s="80" t="s">
        <v>43</v>
      </c>
      <c r="L13" s="80" t="s">
        <v>44</v>
      </c>
      <c r="M13" s="80" t="s">
        <v>45</v>
      </c>
      <c r="N13" s="65"/>
      <c r="O13" s="66" t="s">
        <v>46</v>
      </c>
      <c r="P13" s="66" t="s">
        <v>47</v>
      </c>
      <c r="Q13" s="66" t="s">
        <v>48</v>
      </c>
      <c r="R13" s="5" t="s">
        <v>49</v>
      </c>
      <c r="S13" s="6"/>
    </row>
    <row r="14" spans="2:23" ht="3.75" customHeight="1" x14ac:dyDescent="0.3">
      <c r="C14" s="63"/>
      <c r="D14" s="63"/>
      <c r="E14" s="63"/>
      <c r="F14" s="70"/>
      <c r="G14" s="63"/>
      <c r="H14" s="63"/>
      <c r="I14" s="6"/>
      <c r="J14" s="63"/>
      <c r="K14" s="65"/>
      <c r="L14" s="65"/>
      <c r="M14" s="65"/>
      <c r="N14" s="63"/>
      <c r="O14" s="63"/>
      <c r="P14" s="63"/>
      <c r="Q14" s="63"/>
      <c r="R14" s="11"/>
      <c r="S14" s="6"/>
    </row>
    <row r="15" spans="2:23" ht="13.5" customHeight="1" x14ac:dyDescent="0.35">
      <c r="C15" s="72"/>
      <c r="D15" s="62">
        <v>1</v>
      </c>
      <c r="E15" s="72"/>
      <c r="F15" s="72"/>
      <c r="G15" s="72"/>
      <c r="H15" s="72"/>
      <c r="I15" s="82" t="s">
        <v>50</v>
      </c>
      <c r="J15" s="73"/>
      <c r="K15" s="69"/>
      <c r="L15" s="69"/>
      <c r="M15" s="69"/>
      <c r="N15"/>
      <c r="O15" s="61"/>
      <c r="P15" s="61"/>
      <c r="Q15" s="61"/>
      <c r="R15" s="12"/>
      <c r="S15" s="12"/>
      <c r="T15" s="14"/>
      <c r="U15" s="14"/>
      <c r="V15" s="14"/>
      <c r="W15" s="5" t="s">
        <v>49</v>
      </c>
    </row>
    <row r="16" spans="2:23" ht="56.25" customHeight="1" x14ac:dyDescent="0.3">
      <c r="C16" s="77" t="s">
        <v>51</v>
      </c>
      <c r="D16" s="77">
        <v>4</v>
      </c>
      <c r="E16" s="77" t="s">
        <v>52</v>
      </c>
      <c r="F16" s="77" t="s">
        <v>53</v>
      </c>
      <c r="G16" s="77" t="s">
        <v>54</v>
      </c>
      <c r="H16" s="77" t="s">
        <v>55</v>
      </c>
      <c r="I16" s="78" t="s">
        <v>56</v>
      </c>
      <c r="J16" s="79"/>
      <c r="K16" s="88" t="s">
        <v>57</v>
      </c>
      <c r="L16" s="89"/>
      <c r="M16" s="89"/>
      <c r="N16" s="71"/>
      <c r="O16" s="91"/>
      <c r="P16" s="92"/>
      <c r="Q16" s="60" t="str">
        <f t="shared" ref="Q16:Q27" si="0">IF($O16="N/A","",IF($P16="","",IF($P16&gt;=85%,"C","NC")))</f>
        <v/>
      </c>
      <c r="R16" s="8" t="str">
        <f t="shared" ref="R16:R27" si="1">IF($O16="N/A","",IF($P16="","",$P16*$W16))</f>
        <v/>
      </c>
      <c r="S16" s="6"/>
      <c r="T16" s="14"/>
      <c r="U16" s="14"/>
      <c r="V16" s="14"/>
      <c r="W16" s="52">
        <f t="shared" ref="W16:W27" si="2">IF(O16="N/A",0,D16)</f>
        <v>4</v>
      </c>
    </row>
    <row r="17" spans="3:23" ht="60" x14ac:dyDescent="0.3">
      <c r="C17" s="77" t="s">
        <v>58</v>
      </c>
      <c r="D17" s="77">
        <v>4</v>
      </c>
      <c r="E17" s="77" t="s">
        <v>52</v>
      </c>
      <c r="F17" s="77" t="s">
        <v>53</v>
      </c>
      <c r="G17" s="77" t="s">
        <v>54</v>
      </c>
      <c r="H17" s="77" t="s">
        <v>55</v>
      </c>
      <c r="I17" s="78" t="s">
        <v>59</v>
      </c>
      <c r="J17" s="79"/>
      <c r="K17" s="88" t="s">
        <v>60</v>
      </c>
      <c r="L17" s="89"/>
      <c r="M17" s="89"/>
      <c r="N17" s="71"/>
      <c r="O17" s="91"/>
      <c r="P17" s="92"/>
      <c r="Q17" s="60" t="str">
        <f t="shared" si="0"/>
        <v/>
      </c>
      <c r="R17" s="8" t="str">
        <f t="shared" si="1"/>
        <v/>
      </c>
      <c r="S17" s="6"/>
      <c r="T17" s="14"/>
      <c r="U17" s="14"/>
      <c r="V17" s="14"/>
      <c r="W17" s="52">
        <f t="shared" si="2"/>
        <v>4</v>
      </c>
    </row>
    <row r="18" spans="3:23" ht="24" x14ac:dyDescent="0.3">
      <c r="C18" s="77" t="s">
        <v>61</v>
      </c>
      <c r="D18" s="77">
        <v>4</v>
      </c>
      <c r="E18" s="77" t="s">
        <v>52</v>
      </c>
      <c r="F18" s="77" t="s">
        <v>62</v>
      </c>
      <c r="G18" s="77" t="s">
        <v>63</v>
      </c>
      <c r="H18" s="77" t="s">
        <v>64</v>
      </c>
      <c r="I18" s="78" t="s">
        <v>65</v>
      </c>
      <c r="J18" s="79"/>
      <c r="K18" s="88" t="s">
        <v>66</v>
      </c>
      <c r="L18" s="89"/>
      <c r="M18" s="89"/>
      <c r="N18" s="71"/>
      <c r="O18" s="91"/>
      <c r="P18" s="92"/>
      <c r="Q18" s="60" t="str">
        <f t="shared" si="0"/>
        <v/>
      </c>
      <c r="R18" s="8" t="str">
        <f t="shared" si="1"/>
        <v/>
      </c>
      <c r="S18" s="6"/>
      <c r="T18" s="14"/>
      <c r="U18" s="14"/>
      <c r="V18" s="14"/>
      <c r="W18" s="52">
        <f t="shared" si="2"/>
        <v>4</v>
      </c>
    </row>
    <row r="19" spans="3:23" ht="24" x14ac:dyDescent="0.3">
      <c r="C19" s="77" t="s">
        <v>67</v>
      </c>
      <c r="D19" s="77">
        <v>4</v>
      </c>
      <c r="E19" s="77" t="s">
        <v>52</v>
      </c>
      <c r="F19" s="77" t="s">
        <v>62</v>
      </c>
      <c r="G19" s="77" t="s">
        <v>63</v>
      </c>
      <c r="H19" s="77" t="s">
        <v>68</v>
      </c>
      <c r="I19" s="78" t="s">
        <v>69</v>
      </c>
      <c r="J19" s="79"/>
      <c r="K19" s="88" t="s">
        <v>66</v>
      </c>
      <c r="L19" s="89"/>
      <c r="M19" s="89"/>
      <c r="N19" s="71"/>
      <c r="O19" s="91"/>
      <c r="P19" s="92"/>
      <c r="Q19" s="60" t="str">
        <f t="shared" si="0"/>
        <v/>
      </c>
      <c r="R19" s="8" t="str">
        <f t="shared" si="1"/>
        <v/>
      </c>
      <c r="S19" s="6"/>
      <c r="T19" s="14"/>
      <c r="U19" s="14"/>
      <c r="V19" s="14"/>
      <c r="W19" s="52">
        <f t="shared" si="2"/>
        <v>4</v>
      </c>
    </row>
    <row r="20" spans="3:23" ht="53.25" customHeight="1" x14ac:dyDescent="0.3">
      <c r="C20" s="77" t="s">
        <v>70</v>
      </c>
      <c r="D20" s="77">
        <v>4</v>
      </c>
      <c r="E20" s="77" t="s">
        <v>52</v>
      </c>
      <c r="F20" s="77" t="s">
        <v>62</v>
      </c>
      <c r="G20" s="77" t="s">
        <v>71</v>
      </c>
      <c r="H20" s="77" t="s">
        <v>72</v>
      </c>
      <c r="I20" s="78" t="s">
        <v>73</v>
      </c>
      <c r="J20" s="79"/>
      <c r="K20" s="88" t="s">
        <v>74</v>
      </c>
      <c r="L20" s="89"/>
      <c r="M20" s="89"/>
      <c r="N20" s="59"/>
      <c r="O20" s="93"/>
      <c r="P20" s="94"/>
      <c r="Q20" s="4" t="str">
        <f t="shared" si="0"/>
        <v/>
      </c>
      <c r="R20" s="8" t="str">
        <f t="shared" si="1"/>
        <v/>
      </c>
      <c r="S20" s="6"/>
      <c r="T20" s="14"/>
      <c r="U20" s="14"/>
      <c r="V20" s="14"/>
      <c r="W20" s="52">
        <f t="shared" si="2"/>
        <v>4</v>
      </c>
    </row>
    <row r="21" spans="3:23" ht="69" customHeight="1" x14ac:dyDescent="0.3">
      <c r="C21" s="77" t="s">
        <v>75</v>
      </c>
      <c r="D21" s="77">
        <v>4</v>
      </c>
      <c r="E21" s="77" t="s">
        <v>52</v>
      </c>
      <c r="F21" s="77" t="s">
        <v>62</v>
      </c>
      <c r="G21" s="77" t="s">
        <v>76</v>
      </c>
      <c r="H21" s="77" t="s">
        <v>77</v>
      </c>
      <c r="I21" s="78" t="s">
        <v>78</v>
      </c>
      <c r="J21" s="79"/>
      <c r="K21" s="88" t="s">
        <v>79</v>
      </c>
      <c r="L21" s="89"/>
      <c r="M21" s="89"/>
      <c r="N21" s="59"/>
      <c r="O21" s="93"/>
      <c r="P21" s="94"/>
      <c r="Q21" s="4" t="str">
        <f t="shared" si="0"/>
        <v/>
      </c>
      <c r="R21" s="8" t="str">
        <f t="shared" si="1"/>
        <v/>
      </c>
      <c r="S21" s="6"/>
      <c r="T21" s="14"/>
      <c r="U21" s="14"/>
      <c r="V21" s="14"/>
      <c r="W21" s="52">
        <f t="shared" si="2"/>
        <v>4</v>
      </c>
    </row>
    <row r="22" spans="3:23" ht="36" x14ac:dyDescent="0.3">
      <c r="C22" s="77" t="s">
        <v>80</v>
      </c>
      <c r="D22" s="77">
        <v>4</v>
      </c>
      <c r="E22" s="77" t="s">
        <v>52</v>
      </c>
      <c r="F22" s="77" t="s">
        <v>62</v>
      </c>
      <c r="G22" s="77" t="s">
        <v>81</v>
      </c>
      <c r="H22" s="77" t="s">
        <v>82</v>
      </c>
      <c r="I22" s="78" t="s">
        <v>83</v>
      </c>
      <c r="J22" s="79"/>
      <c r="K22" s="88" t="s">
        <v>84</v>
      </c>
      <c r="L22" s="89"/>
      <c r="M22" s="89"/>
      <c r="N22" s="59"/>
      <c r="O22" s="93"/>
      <c r="P22" s="94"/>
      <c r="Q22" s="4" t="str">
        <f t="shared" si="0"/>
        <v/>
      </c>
      <c r="R22" s="8" t="str">
        <f t="shared" si="1"/>
        <v/>
      </c>
      <c r="S22" s="6"/>
      <c r="T22" s="14"/>
      <c r="U22" s="14"/>
      <c r="V22" s="14"/>
      <c r="W22" s="52">
        <f t="shared" si="2"/>
        <v>4</v>
      </c>
    </row>
    <row r="23" spans="3:23" ht="24" x14ac:dyDescent="0.3">
      <c r="C23" s="77" t="s">
        <v>85</v>
      </c>
      <c r="D23" s="77">
        <v>4</v>
      </c>
      <c r="E23" s="77" t="s">
        <v>52</v>
      </c>
      <c r="F23" s="77" t="s">
        <v>62</v>
      </c>
      <c r="G23" s="77" t="s">
        <v>86</v>
      </c>
      <c r="H23" s="77" t="s">
        <v>87</v>
      </c>
      <c r="I23" s="78" t="s">
        <v>88</v>
      </c>
      <c r="J23" s="79"/>
      <c r="K23" s="88" t="s">
        <v>89</v>
      </c>
      <c r="L23" s="89"/>
      <c r="M23" s="89"/>
      <c r="N23" s="59"/>
      <c r="O23" s="93"/>
      <c r="P23" s="94"/>
      <c r="Q23" s="4" t="str">
        <f t="shared" si="0"/>
        <v/>
      </c>
      <c r="R23" s="8" t="str">
        <f t="shared" si="1"/>
        <v/>
      </c>
      <c r="S23" s="6"/>
      <c r="T23" s="14"/>
      <c r="U23" s="14"/>
      <c r="V23" s="14"/>
      <c r="W23" s="52">
        <f t="shared" si="2"/>
        <v>4</v>
      </c>
    </row>
    <row r="24" spans="3:23" ht="24" x14ac:dyDescent="0.3">
      <c r="C24" s="77" t="s">
        <v>90</v>
      </c>
      <c r="D24" s="77">
        <v>4</v>
      </c>
      <c r="E24" s="77" t="s">
        <v>52</v>
      </c>
      <c r="F24" s="77" t="s">
        <v>62</v>
      </c>
      <c r="G24" s="77" t="s">
        <v>91</v>
      </c>
      <c r="H24" s="77" t="s">
        <v>92</v>
      </c>
      <c r="I24" s="78" t="s">
        <v>93</v>
      </c>
      <c r="J24" s="79"/>
      <c r="K24" s="88" t="s">
        <v>94</v>
      </c>
      <c r="L24" s="89"/>
      <c r="M24" s="89"/>
      <c r="N24" s="59"/>
      <c r="O24" s="93"/>
      <c r="P24" s="94"/>
      <c r="Q24" s="4" t="str">
        <f t="shared" si="0"/>
        <v/>
      </c>
      <c r="R24" s="8" t="str">
        <f t="shared" si="1"/>
        <v/>
      </c>
      <c r="S24" s="6"/>
      <c r="T24" s="14"/>
      <c r="U24" s="14"/>
      <c r="V24" s="14"/>
      <c r="W24" s="52">
        <f t="shared" si="2"/>
        <v>4</v>
      </c>
    </row>
    <row r="25" spans="3:23" ht="49.5" customHeight="1" x14ac:dyDescent="0.3">
      <c r="C25" s="77" t="s">
        <v>95</v>
      </c>
      <c r="D25" s="77">
        <v>4</v>
      </c>
      <c r="E25" s="77" t="s">
        <v>52</v>
      </c>
      <c r="F25" s="77" t="s">
        <v>62</v>
      </c>
      <c r="G25" s="77" t="s">
        <v>96</v>
      </c>
      <c r="H25" s="77" t="s">
        <v>97</v>
      </c>
      <c r="I25" s="78" t="s">
        <v>98</v>
      </c>
      <c r="J25" s="79"/>
      <c r="K25" s="88" t="s">
        <v>99</v>
      </c>
      <c r="L25" s="89"/>
      <c r="M25" s="89"/>
      <c r="N25" s="59"/>
      <c r="O25" s="93"/>
      <c r="P25" s="94"/>
      <c r="Q25" s="4" t="str">
        <f t="shared" si="0"/>
        <v/>
      </c>
      <c r="R25" s="8" t="str">
        <f t="shared" si="1"/>
        <v/>
      </c>
      <c r="S25" s="6"/>
      <c r="T25" s="14"/>
      <c r="U25" s="14"/>
      <c r="V25" s="14"/>
      <c r="W25" s="52">
        <f t="shared" si="2"/>
        <v>4</v>
      </c>
    </row>
    <row r="26" spans="3:23" ht="48" customHeight="1" x14ac:dyDescent="0.3">
      <c r="C26" s="77" t="s">
        <v>100</v>
      </c>
      <c r="D26" s="77">
        <v>4</v>
      </c>
      <c r="E26" s="77" t="s">
        <v>101</v>
      </c>
      <c r="F26" s="77" t="s">
        <v>62</v>
      </c>
      <c r="G26" s="77" t="s">
        <v>102</v>
      </c>
      <c r="H26" s="77" t="s">
        <v>103</v>
      </c>
      <c r="I26" s="78" t="s">
        <v>104</v>
      </c>
      <c r="J26" s="79"/>
      <c r="K26" s="88" t="s">
        <v>105</v>
      </c>
      <c r="L26" s="89"/>
      <c r="M26" s="89"/>
      <c r="N26" s="59"/>
      <c r="O26" s="93"/>
      <c r="P26" s="94"/>
      <c r="Q26" s="4" t="str">
        <f t="shared" si="0"/>
        <v/>
      </c>
      <c r="R26" s="8" t="str">
        <f t="shared" si="1"/>
        <v/>
      </c>
      <c r="S26" s="6"/>
      <c r="T26" s="14"/>
      <c r="U26" s="14"/>
      <c r="V26" s="14"/>
      <c r="W26" s="52">
        <f t="shared" si="2"/>
        <v>4</v>
      </c>
    </row>
    <row r="27" spans="3:23" ht="37.5" customHeight="1" x14ac:dyDescent="0.3">
      <c r="C27" s="77" t="s">
        <v>106</v>
      </c>
      <c r="D27" s="77">
        <v>4</v>
      </c>
      <c r="E27" s="77" t="s">
        <v>101</v>
      </c>
      <c r="F27" s="77" t="s">
        <v>107</v>
      </c>
      <c r="G27" s="77" t="s">
        <v>108</v>
      </c>
      <c r="H27" s="95" t="s">
        <v>109</v>
      </c>
      <c r="I27" s="78" t="s">
        <v>110</v>
      </c>
      <c r="J27" s="79"/>
      <c r="K27" s="88" t="s">
        <v>111</v>
      </c>
      <c r="L27" s="89"/>
      <c r="M27" s="89"/>
      <c r="N27" s="59"/>
      <c r="O27" s="93"/>
      <c r="P27" s="94"/>
      <c r="Q27" s="4" t="str">
        <f t="shared" si="0"/>
        <v/>
      </c>
      <c r="R27" s="8" t="str">
        <f t="shared" si="1"/>
        <v/>
      </c>
      <c r="S27" s="6"/>
      <c r="T27" s="14"/>
      <c r="U27" s="14"/>
      <c r="V27" s="14"/>
      <c r="W27" s="52">
        <f t="shared" si="2"/>
        <v>4</v>
      </c>
    </row>
    <row r="28" spans="3:23" x14ac:dyDescent="0.3">
      <c r="C28" s="103"/>
      <c r="D28" s="103"/>
      <c r="E28" s="103"/>
      <c r="F28" s="103"/>
      <c r="G28" s="103"/>
      <c r="H28" s="103"/>
      <c r="I28" s="103"/>
      <c r="J28" s="103"/>
      <c r="K28" s="103"/>
      <c r="L28" s="103"/>
      <c r="M28" s="103"/>
      <c r="N28" s="53"/>
      <c r="O28" s="11"/>
      <c r="P28" s="11"/>
      <c r="Q28" s="11"/>
      <c r="R28" s="38" t="str">
        <f>IF(SUM(R16:R27)=0,"-",IFERROR(SUM(R16:R27),""))</f>
        <v>-</v>
      </c>
      <c r="S28" s="6"/>
      <c r="T28" s="14"/>
      <c r="U28" s="14"/>
      <c r="V28" s="14"/>
      <c r="W28" s="14"/>
    </row>
    <row r="29" spans="3:23" x14ac:dyDescent="0.3">
      <c r="C29" s="103"/>
      <c r="D29" s="103"/>
      <c r="E29" s="103"/>
      <c r="F29" s="103"/>
      <c r="G29" s="103"/>
      <c r="H29" s="103"/>
      <c r="I29" s="103"/>
      <c r="J29" s="103"/>
      <c r="K29" s="103"/>
      <c r="L29" s="103"/>
      <c r="M29" s="103"/>
      <c r="N29" s="53"/>
      <c r="O29" s="54" t="str">
        <f>IF(O16="N/A",IF(O17="N/A",IF(O18="N/A",IF(O19="N/A",IF(O20="N/A",IF(O21="N/A",IF(O22="N/A",IF(O23="N/A",IF(O24="N/A",IF(O25="N/A",IF(O26="N/A",IF(O27="N/A","N/A","-"),"-"),"-"),"-"),"-"),"-"),"-"),"-"),"-"),"-"),"-"),"-")</f>
        <v>-</v>
      </c>
      <c r="P29" s="58" t="str">
        <f>IF(O29="N/A","N/A",$R29)</f>
        <v>-</v>
      </c>
      <c r="Q29" s="54"/>
      <c r="R29" s="38" t="str">
        <f>IF(R28="-","-",IFERROR(($P16*W16+$P17*W17+$P18*W18+$P19*W19+$P20*W20+$P21*W21+$P22*W22+$P23*W23+$P24*W24+$P25*W25+$P26*W26+$P27*W27)/(SUM(W16:W27)),""))</f>
        <v>-</v>
      </c>
      <c r="S29" s="6"/>
      <c r="T29" s="14"/>
      <c r="U29" s="14"/>
      <c r="V29" s="14"/>
      <c r="W29" s="14"/>
    </row>
    <row r="30" spans="3:23" ht="2.25" customHeight="1" x14ac:dyDescent="0.3">
      <c r="I30" s="55"/>
      <c r="J30" s="2"/>
      <c r="K30" s="55"/>
      <c r="L30" s="55"/>
      <c r="M30" s="55"/>
      <c r="N30" s="2"/>
      <c r="O30" s="2"/>
      <c r="P30" s="2"/>
      <c r="Q30" s="2"/>
      <c r="R30" s="38"/>
      <c r="S30" s="6"/>
    </row>
    <row r="31" spans="3:23" ht="13.5" customHeight="1" x14ac:dyDescent="0.3">
      <c r="C31" s="5" t="s">
        <v>33</v>
      </c>
      <c r="D31" s="5" t="s">
        <v>34</v>
      </c>
      <c r="E31" s="5" t="s">
        <v>35</v>
      </c>
      <c r="F31" s="5" t="s">
        <v>112</v>
      </c>
      <c r="G31" s="5" t="s">
        <v>37</v>
      </c>
      <c r="H31" s="5" t="s">
        <v>38</v>
      </c>
      <c r="I31" s="80" t="s">
        <v>39</v>
      </c>
      <c r="J31" s="1"/>
      <c r="K31" s="111" t="s">
        <v>40</v>
      </c>
      <c r="L31" s="112"/>
      <c r="M31" s="113"/>
      <c r="N31" s="65"/>
      <c r="O31" s="104" t="s">
        <v>41</v>
      </c>
      <c r="P31" s="104"/>
      <c r="Q31" s="104"/>
      <c r="R31" s="2"/>
      <c r="S31" s="6"/>
    </row>
    <row r="32" spans="3:23" ht="3" customHeight="1" x14ac:dyDescent="0.3">
      <c r="C32" s="1"/>
      <c r="D32" s="14"/>
      <c r="E32" s="1"/>
      <c r="F32" s="33"/>
      <c r="G32" s="1"/>
      <c r="H32" s="1"/>
      <c r="J32" s="1"/>
      <c r="K32" s="12"/>
      <c r="L32" s="12"/>
      <c r="M32" s="12"/>
      <c r="N32" s="68"/>
      <c r="O32" s="68"/>
      <c r="P32" s="68"/>
      <c r="Q32" s="68"/>
      <c r="R32" s="1"/>
      <c r="S32" s="1"/>
    </row>
    <row r="33" spans="3:23" ht="14.25" customHeight="1" x14ac:dyDescent="0.3">
      <c r="C33" s="11"/>
      <c r="D33" s="4">
        <v>5</v>
      </c>
      <c r="E33" s="11"/>
      <c r="F33" s="10"/>
      <c r="G33" s="11"/>
      <c r="H33" s="11"/>
      <c r="I33" s="81" t="s">
        <v>113</v>
      </c>
      <c r="J33" s="6"/>
      <c r="K33" s="80" t="s">
        <v>43</v>
      </c>
      <c r="L33" s="80" t="s">
        <v>44</v>
      </c>
      <c r="M33" s="80" t="s">
        <v>45</v>
      </c>
      <c r="N33" s="65"/>
      <c r="O33" s="66" t="s">
        <v>46</v>
      </c>
      <c r="P33" s="66" t="s">
        <v>47</v>
      </c>
      <c r="Q33" s="66" t="s">
        <v>48</v>
      </c>
      <c r="R33" s="5" t="s">
        <v>49</v>
      </c>
      <c r="S33" s="6"/>
    </row>
    <row r="34" spans="3:23" ht="3.75" customHeight="1" x14ac:dyDescent="0.3">
      <c r="C34" s="11"/>
      <c r="D34" s="11"/>
      <c r="E34" s="11"/>
      <c r="F34" s="10"/>
      <c r="G34" s="11"/>
      <c r="H34" s="11"/>
      <c r="I34" s="6"/>
      <c r="J34" s="11"/>
      <c r="K34" s="6"/>
      <c r="L34" s="6"/>
      <c r="M34" s="6"/>
      <c r="N34" s="63"/>
      <c r="O34" s="63"/>
      <c r="P34" s="63"/>
      <c r="Q34" s="63"/>
      <c r="R34" s="11"/>
      <c r="S34" s="6"/>
    </row>
    <row r="35" spans="3:23" ht="39.75" customHeight="1" x14ac:dyDescent="0.3">
      <c r="C35" s="1"/>
      <c r="D35" s="4">
        <v>2</v>
      </c>
      <c r="E35" s="1"/>
      <c r="F35" s="33"/>
      <c r="G35" s="1"/>
      <c r="H35" s="1"/>
      <c r="I35" s="82" t="s">
        <v>114</v>
      </c>
      <c r="J35" s="12"/>
      <c r="K35" s="6"/>
      <c r="L35" s="6"/>
      <c r="M35" s="6"/>
      <c r="N35" s="65"/>
      <c r="O35" s="61"/>
      <c r="P35" s="61"/>
      <c r="Q35" s="61"/>
      <c r="R35" s="12"/>
      <c r="S35" s="12"/>
      <c r="T35" s="14"/>
      <c r="U35" s="14"/>
      <c r="V35" s="14"/>
      <c r="W35" s="5" t="s">
        <v>49</v>
      </c>
    </row>
    <row r="36" spans="3:23" ht="14.5" x14ac:dyDescent="0.3">
      <c r="C36" s="4" t="s">
        <v>115</v>
      </c>
      <c r="D36" s="4">
        <v>5</v>
      </c>
      <c r="E36" s="4" t="s">
        <v>52</v>
      </c>
      <c r="F36" s="4" t="s">
        <v>62</v>
      </c>
      <c r="G36" s="4" t="s">
        <v>116</v>
      </c>
      <c r="H36" s="4" t="s">
        <v>117</v>
      </c>
      <c r="I36" s="83" t="s">
        <v>118</v>
      </c>
      <c r="J36" s="12"/>
      <c r="K36" s="88" t="s">
        <v>119</v>
      </c>
      <c r="L36" s="89"/>
      <c r="M36" s="89"/>
      <c r="N36" s="71"/>
      <c r="O36" s="91"/>
      <c r="P36" s="92"/>
      <c r="Q36" s="60" t="str">
        <f>IF($O36="N/A","",IF($P36="","",IF($P36&gt;=85%,"C","NC")))</f>
        <v/>
      </c>
      <c r="R36" s="8" t="str">
        <f>IF($O36="N/A","",IF($P36="","",$P36*$W36))</f>
        <v/>
      </c>
      <c r="S36" s="6"/>
      <c r="T36" s="14"/>
      <c r="U36" s="14"/>
      <c r="V36" s="14"/>
      <c r="W36" s="52">
        <f>IF(O36="N/A",0,D36)</f>
        <v>5</v>
      </c>
    </row>
    <row r="37" spans="3:23" ht="24" x14ac:dyDescent="0.3">
      <c r="C37" s="4" t="s">
        <v>120</v>
      </c>
      <c r="D37" s="4">
        <v>4</v>
      </c>
      <c r="E37" s="4" t="s">
        <v>52</v>
      </c>
      <c r="F37" s="4" t="s">
        <v>62</v>
      </c>
      <c r="G37" s="4" t="s">
        <v>121</v>
      </c>
      <c r="H37" s="4" t="s">
        <v>122</v>
      </c>
      <c r="I37" s="83" t="s">
        <v>123</v>
      </c>
      <c r="J37" s="84"/>
      <c r="K37" s="88" t="s">
        <v>124</v>
      </c>
      <c r="L37" s="89"/>
      <c r="M37" s="89"/>
      <c r="N37" s="71"/>
      <c r="O37" s="91"/>
      <c r="P37" s="92"/>
      <c r="Q37" s="60" t="str">
        <f>IF($O37="N/A","",IF($P37="","",IF($P37&gt;=85%,"C","NC")))</f>
        <v/>
      </c>
      <c r="R37" s="8" t="str">
        <f>IF($O37="N/A","",IF($P37="","",$P37*$W37))</f>
        <v/>
      </c>
      <c r="S37" s="6"/>
      <c r="T37" s="14"/>
      <c r="U37" s="14"/>
      <c r="V37" s="14"/>
      <c r="W37" s="52">
        <f>IF(O37="N/A",0,D37)</f>
        <v>4</v>
      </c>
    </row>
    <row r="38" spans="3:23" ht="14.5" x14ac:dyDescent="0.3">
      <c r="C38" s="4" t="s">
        <v>125</v>
      </c>
      <c r="D38" s="4">
        <v>5</v>
      </c>
      <c r="E38" s="4" t="s">
        <v>101</v>
      </c>
      <c r="F38" s="4" t="s">
        <v>62</v>
      </c>
      <c r="G38" s="4" t="s">
        <v>126</v>
      </c>
      <c r="H38" s="4" t="s">
        <v>127</v>
      </c>
      <c r="I38" s="83" t="s">
        <v>128</v>
      </c>
      <c r="J38" s="12"/>
      <c r="K38" s="88" t="s">
        <v>129</v>
      </c>
      <c r="L38" s="89"/>
      <c r="M38" s="89"/>
      <c r="N38" s="71"/>
      <c r="O38" s="91"/>
      <c r="P38" s="92"/>
      <c r="Q38" s="60" t="str">
        <f>IF($O38="N/A","",IF($P38="","",IF($P38&gt;=85%,"C","NC")))</f>
        <v/>
      </c>
      <c r="R38" s="8" t="str">
        <f>IF($O38="N/A","",IF($P38="","",$P38*$W38))</f>
        <v/>
      </c>
      <c r="S38" s="6"/>
      <c r="T38" s="14"/>
      <c r="U38" s="14"/>
      <c r="V38" s="14"/>
      <c r="W38" s="52">
        <f>IF(O38="N/A",0,D38)</f>
        <v>5</v>
      </c>
    </row>
    <row r="39" spans="3:23" ht="16.5" customHeight="1" x14ac:dyDescent="0.3">
      <c r="C39" s="4" t="s">
        <v>130</v>
      </c>
      <c r="D39" s="4">
        <v>5</v>
      </c>
      <c r="E39" s="4" t="s">
        <v>101</v>
      </c>
      <c r="F39" s="4" t="s">
        <v>62</v>
      </c>
      <c r="G39" s="4" t="s">
        <v>131</v>
      </c>
      <c r="H39" s="4" t="s">
        <v>132</v>
      </c>
      <c r="I39" s="83" t="s">
        <v>133</v>
      </c>
      <c r="J39" s="12"/>
      <c r="K39" s="88" t="s">
        <v>134</v>
      </c>
      <c r="L39" s="89"/>
      <c r="M39" s="89"/>
      <c r="N39" s="59"/>
      <c r="O39" s="93"/>
      <c r="P39" s="94"/>
      <c r="Q39" s="4" t="str">
        <f>IF($O39="N/A","",IF($P39="","",IF($P39&gt;=85%,"C","NC")))</f>
        <v/>
      </c>
      <c r="R39" s="8" t="str">
        <f>IF($O39="N/A","",IF($P39="","",$P39*$W39))</f>
        <v/>
      </c>
      <c r="S39" s="6"/>
      <c r="T39" s="14"/>
      <c r="U39" s="14"/>
      <c r="V39" s="14"/>
      <c r="W39" s="52">
        <f>IF(O39="N/A",0,D39)</f>
        <v>5</v>
      </c>
    </row>
    <row r="40" spans="3:23" x14ac:dyDescent="0.3">
      <c r="C40" s="103"/>
      <c r="D40" s="103"/>
      <c r="E40" s="103"/>
      <c r="F40" s="103"/>
      <c r="G40" s="103"/>
      <c r="H40" s="103"/>
      <c r="I40" s="103"/>
      <c r="J40" s="103"/>
      <c r="K40" s="103"/>
      <c r="L40" s="103"/>
      <c r="M40" s="103"/>
      <c r="N40" s="53"/>
      <c r="O40" s="11"/>
      <c r="P40" s="11"/>
      <c r="Q40" s="11"/>
      <c r="R40" s="38" t="str">
        <f>IF(SUM(R36:R39)=0,"-",IFERROR(SUM(R36:R39),""))</f>
        <v>-</v>
      </c>
      <c r="S40" s="6"/>
      <c r="T40" s="14"/>
      <c r="U40" s="14"/>
      <c r="V40" s="14"/>
      <c r="W40" s="14"/>
    </row>
    <row r="41" spans="3:23" x14ac:dyDescent="0.3">
      <c r="C41" s="103"/>
      <c r="D41" s="103"/>
      <c r="E41" s="103"/>
      <c r="F41" s="103"/>
      <c r="G41" s="103"/>
      <c r="H41" s="103"/>
      <c r="I41" s="103"/>
      <c r="J41" s="103"/>
      <c r="K41" s="103"/>
      <c r="L41" s="103"/>
      <c r="M41" s="103"/>
      <c r="N41" s="53"/>
      <c r="O41" s="54" t="str">
        <f>IF(O36="N/A",IF(O37="N/A",IF(O38="N/A",IF(O39="N/A","N/A","-"),"-"),"-"),"-")</f>
        <v>-</v>
      </c>
      <c r="P41" s="58" t="str">
        <f>IF(O41="N/A","N/A",$R41)</f>
        <v>-</v>
      </c>
      <c r="Q41" s="54"/>
      <c r="R41" s="38" t="str">
        <f>IF(R40="-","-",IFERROR(($P36*W36+$P37*W37+$P38*W38+$P39*W39)/(SUM(W36:W39)),""))</f>
        <v>-</v>
      </c>
      <c r="S41" s="6"/>
      <c r="T41" s="14"/>
      <c r="U41" s="14"/>
      <c r="V41" s="14"/>
      <c r="W41" s="14"/>
    </row>
    <row r="42" spans="3:23" ht="3.75" customHeight="1" x14ac:dyDescent="0.3">
      <c r="C42" s="11"/>
      <c r="D42" s="11"/>
      <c r="E42" s="11"/>
      <c r="F42" s="10"/>
      <c r="G42" s="11"/>
      <c r="H42" s="11"/>
      <c r="I42" s="6"/>
      <c r="J42" s="11"/>
      <c r="K42" s="6"/>
      <c r="L42" s="6"/>
      <c r="M42" s="6"/>
      <c r="N42" s="11"/>
      <c r="O42" s="11"/>
      <c r="P42" s="11"/>
      <c r="Q42" s="11"/>
      <c r="R42" s="11"/>
      <c r="S42" s="6"/>
    </row>
    <row r="43" spans="3:23" ht="14.25" customHeight="1" x14ac:dyDescent="0.3">
      <c r="C43" s="11"/>
      <c r="D43" s="4">
        <v>5</v>
      </c>
      <c r="E43" s="1"/>
      <c r="F43" s="33"/>
      <c r="G43" s="1"/>
      <c r="H43" s="1"/>
      <c r="I43" s="82" t="s">
        <v>135</v>
      </c>
      <c r="J43" s="12"/>
      <c r="K43" s="6"/>
      <c r="L43" s="6"/>
      <c r="M43" s="6"/>
      <c r="N43" s="6"/>
      <c r="O43" s="6"/>
      <c r="P43" s="6"/>
      <c r="Q43" s="6"/>
      <c r="R43" s="13"/>
      <c r="S43" s="6"/>
      <c r="W43" s="5" t="s">
        <v>49</v>
      </c>
    </row>
    <row r="44" spans="3:23" ht="24" x14ac:dyDescent="0.3">
      <c r="C44" s="4" t="s">
        <v>136</v>
      </c>
      <c r="D44" s="4">
        <v>5</v>
      </c>
      <c r="E44" s="4" t="s">
        <v>52</v>
      </c>
      <c r="F44" s="85" t="s">
        <v>137</v>
      </c>
      <c r="G44" s="4" t="s">
        <v>138</v>
      </c>
      <c r="H44" s="4" t="s">
        <v>139</v>
      </c>
      <c r="I44" s="83" t="s">
        <v>140</v>
      </c>
      <c r="J44" s="12"/>
      <c r="K44" s="90" t="s">
        <v>141</v>
      </c>
      <c r="L44" s="89"/>
      <c r="M44" s="89"/>
      <c r="N44" s="59"/>
      <c r="O44" s="93"/>
      <c r="P44" s="94"/>
      <c r="Q44" s="4" t="str">
        <f t="shared" ref="Q44:Q50" si="3">IF($O44="N/A","",IF($P44="","",IF($P44&gt;=85%,"C","NC")))</f>
        <v/>
      </c>
      <c r="R44" s="8" t="str">
        <f t="shared" ref="R44:R50" si="4">IF($O44="N/A","",IF($P44="","",$P44*$W44))</f>
        <v/>
      </c>
      <c r="S44" s="6"/>
      <c r="T44" s="14"/>
      <c r="U44" s="14"/>
      <c r="V44" s="14"/>
      <c r="W44" s="52">
        <f t="shared" ref="W44:W50" si="5">IF(O44="N/A",0,D44)</f>
        <v>5</v>
      </c>
    </row>
    <row r="45" spans="3:23" ht="24" x14ac:dyDescent="0.3">
      <c r="C45" s="4" t="s">
        <v>142</v>
      </c>
      <c r="D45" s="4">
        <v>4</v>
      </c>
      <c r="E45" s="4" t="s">
        <v>52</v>
      </c>
      <c r="F45" s="85" t="s">
        <v>137</v>
      </c>
      <c r="G45" s="4" t="s">
        <v>143</v>
      </c>
      <c r="H45" s="4" t="s">
        <v>144</v>
      </c>
      <c r="I45" s="83" t="s">
        <v>145</v>
      </c>
      <c r="J45" s="12"/>
      <c r="K45" s="90" t="s">
        <v>146</v>
      </c>
      <c r="L45" s="89"/>
      <c r="M45" s="89"/>
      <c r="N45" s="59"/>
      <c r="O45" s="93"/>
      <c r="P45" s="94"/>
      <c r="Q45" s="4" t="str">
        <f t="shared" si="3"/>
        <v/>
      </c>
      <c r="R45" s="8" t="str">
        <f t="shared" si="4"/>
        <v/>
      </c>
      <c r="S45" s="6"/>
      <c r="T45" s="14"/>
      <c r="U45" s="14"/>
      <c r="V45" s="14"/>
      <c r="W45" s="52">
        <f t="shared" si="5"/>
        <v>4</v>
      </c>
    </row>
    <row r="46" spans="3:23" ht="24" x14ac:dyDescent="0.3">
      <c r="C46" s="4" t="s">
        <v>147</v>
      </c>
      <c r="D46" s="4">
        <v>2</v>
      </c>
      <c r="E46" s="4" t="s">
        <v>52</v>
      </c>
      <c r="F46" s="85" t="s">
        <v>137</v>
      </c>
      <c r="G46" s="4" t="s">
        <v>148</v>
      </c>
      <c r="H46" s="4" t="s">
        <v>149</v>
      </c>
      <c r="I46" s="83" t="s">
        <v>150</v>
      </c>
      <c r="J46" s="12"/>
      <c r="K46" s="90" t="s">
        <v>151</v>
      </c>
      <c r="L46" s="89"/>
      <c r="M46" s="89"/>
      <c r="N46" s="59"/>
      <c r="O46" s="93"/>
      <c r="P46" s="94"/>
      <c r="Q46" s="4" t="str">
        <f t="shared" si="3"/>
        <v/>
      </c>
      <c r="R46" s="8" t="str">
        <f t="shared" si="4"/>
        <v/>
      </c>
      <c r="S46" s="6"/>
      <c r="T46" s="14"/>
      <c r="U46" s="14"/>
      <c r="V46" s="14"/>
      <c r="W46" s="52">
        <f t="shared" si="5"/>
        <v>2</v>
      </c>
    </row>
    <row r="47" spans="3:23" ht="24" x14ac:dyDescent="0.3">
      <c r="C47" s="4" t="s">
        <v>152</v>
      </c>
      <c r="D47" s="4">
        <v>5</v>
      </c>
      <c r="E47" s="4" t="s">
        <v>101</v>
      </c>
      <c r="F47" s="85" t="s">
        <v>137</v>
      </c>
      <c r="G47" s="4" t="s">
        <v>153</v>
      </c>
      <c r="H47" s="4" t="s">
        <v>154</v>
      </c>
      <c r="I47" s="83" t="s">
        <v>155</v>
      </c>
      <c r="J47" s="12"/>
      <c r="K47" s="90" t="s">
        <v>156</v>
      </c>
      <c r="L47" s="89"/>
      <c r="M47" s="89"/>
      <c r="N47" s="59"/>
      <c r="O47" s="93"/>
      <c r="P47" s="94"/>
      <c r="Q47" s="4" t="str">
        <f t="shared" si="3"/>
        <v/>
      </c>
      <c r="R47" s="8" t="str">
        <f t="shared" si="4"/>
        <v/>
      </c>
      <c r="S47" s="6"/>
      <c r="T47" s="14"/>
      <c r="U47" s="14"/>
      <c r="V47" s="14"/>
      <c r="W47" s="52">
        <f t="shared" si="5"/>
        <v>5</v>
      </c>
    </row>
    <row r="48" spans="3:23" ht="24" x14ac:dyDescent="0.3">
      <c r="C48" s="4" t="s">
        <v>157</v>
      </c>
      <c r="D48" s="4">
        <v>5</v>
      </c>
      <c r="E48" s="4" t="s">
        <v>101</v>
      </c>
      <c r="F48" s="85" t="s">
        <v>137</v>
      </c>
      <c r="G48" s="4" t="s">
        <v>158</v>
      </c>
      <c r="H48" s="4" t="s">
        <v>159</v>
      </c>
      <c r="I48" s="83" t="s">
        <v>160</v>
      </c>
      <c r="J48" s="12"/>
      <c r="K48" s="90" t="s">
        <v>161</v>
      </c>
      <c r="L48" s="89"/>
      <c r="M48" s="89"/>
      <c r="N48" s="59"/>
      <c r="O48" s="93"/>
      <c r="P48" s="94"/>
      <c r="Q48" s="4" t="str">
        <f t="shared" si="3"/>
        <v/>
      </c>
      <c r="R48" s="8" t="str">
        <f t="shared" si="4"/>
        <v/>
      </c>
      <c r="S48" s="6"/>
      <c r="T48" s="14"/>
      <c r="U48" s="14"/>
      <c r="V48" s="14"/>
      <c r="W48" s="52">
        <f t="shared" si="5"/>
        <v>5</v>
      </c>
    </row>
    <row r="49" spans="3:23" ht="24" x14ac:dyDescent="0.3">
      <c r="C49" s="4" t="s">
        <v>162</v>
      </c>
      <c r="D49" s="4">
        <v>5</v>
      </c>
      <c r="E49" s="4" t="s">
        <v>101</v>
      </c>
      <c r="F49" s="85" t="s">
        <v>137</v>
      </c>
      <c r="G49" s="4" t="s">
        <v>163</v>
      </c>
      <c r="H49" s="4" t="s">
        <v>149</v>
      </c>
      <c r="I49" s="83" t="s">
        <v>164</v>
      </c>
      <c r="J49" s="12"/>
      <c r="K49" s="90" t="s">
        <v>165</v>
      </c>
      <c r="L49" s="89"/>
      <c r="M49" s="89"/>
      <c r="N49" s="59"/>
      <c r="O49" s="93"/>
      <c r="P49" s="94"/>
      <c r="Q49" s="4" t="str">
        <f t="shared" si="3"/>
        <v/>
      </c>
      <c r="R49" s="8" t="str">
        <f t="shared" si="4"/>
        <v/>
      </c>
      <c r="S49" s="6"/>
      <c r="T49" s="14"/>
      <c r="U49" s="14"/>
      <c r="V49" s="14"/>
      <c r="W49" s="52">
        <f t="shared" si="5"/>
        <v>5</v>
      </c>
    </row>
    <row r="50" spans="3:23" ht="48" x14ac:dyDescent="0.3">
      <c r="C50" s="4" t="s">
        <v>166</v>
      </c>
      <c r="D50" s="4">
        <v>3</v>
      </c>
      <c r="E50" s="4" t="s">
        <v>167</v>
      </c>
      <c r="F50" s="85" t="s">
        <v>168</v>
      </c>
      <c r="G50" s="4" t="s">
        <v>169</v>
      </c>
      <c r="H50" s="85" t="s">
        <v>170</v>
      </c>
      <c r="I50" s="83" t="s">
        <v>171</v>
      </c>
      <c r="J50" s="12"/>
      <c r="K50" s="90" t="s">
        <v>172</v>
      </c>
      <c r="L50" s="89" t="s">
        <v>173</v>
      </c>
      <c r="M50" s="89"/>
      <c r="N50" s="59"/>
      <c r="O50" s="93"/>
      <c r="P50" s="94"/>
      <c r="Q50" s="4" t="str">
        <f t="shared" si="3"/>
        <v/>
      </c>
      <c r="R50" s="8" t="str">
        <f t="shared" si="4"/>
        <v/>
      </c>
      <c r="S50" s="6"/>
      <c r="T50" s="14"/>
      <c r="U50" s="14"/>
      <c r="V50" s="14"/>
      <c r="W50" s="52">
        <f t="shared" si="5"/>
        <v>3</v>
      </c>
    </row>
    <row r="51" spans="3:23" x14ac:dyDescent="0.3">
      <c r="C51" s="103"/>
      <c r="D51" s="103"/>
      <c r="E51" s="103"/>
      <c r="F51" s="103"/>
      <c r="G51" s="103"/>
      <c r="H51" s="103"/>
      <c r="I51" s="103"/>
      <c r="J51" s="103"/>
      <c r="K51" s="103"/>
      <c r="L51" s="103"/>
      <c r="M51" s="103"/>
      <c r="N51" s="53"/>
      <c r="O51" s="11"/>
      <c r="P51" s="11"/>
      <c r="Q51" s="11"/>
      <c r="R51" s="38" t="str">
        <f>IF(SUM(R44:R50)=0,"-",IFERROR(SUM(R44:R50),""))</f>
        <v>-</v>
      </c>
      <c r="S51" s="6"/>
      <c r="T51" s="14"/>
      <c r="U51" s="14"/>
      <c r="V51" s="14"/>
      <c r="W51" s="14"/>
    </row>
    <row r="52" spans="3:23" x14ac:dyDescent="0.3">
      <c r="C52" s="103"/>
      <c r="D52" s="103"/>
      <c r="E52" s="103"/>
      <c r="F52" s="103"/>
      <c r="G52" s="103"/>
      <c r="H52" s="103"/>
      <c r="I52" s="103"/>
      <c r="J52" s="103"/>
      <c r="K52" s="103"/>
      <c r="L52" s="103"/>
      <c r="M52" s="103"/>
      <c r="N52" s="53"/>
      <c r="O52" s="54" t="str">
        <f>IF(O44="N/A",IF(O45="N/A",IF(O46="N/A",IF(O47="N/A",IF(O48="N/A",IF(O49="N/A",IF(O50="N/A","N/A","-"),"-"),"-"),"-"),"-"),"-"),"-")</f>
        <v>-</v>
      </c>
      <c r="P52" s="58" t="str">
        <f>IF(O52="N/A","N/A",$R52)</f>
        <v>-</v>
      </c>
      <c r="Q52" s="54"/>
      <c r="R52" s="38" t="str">
        <f>IF(R51="-","-",IFERROR(($P44*W44+$P45*W45+$P46*W46+$P47*W47+$P48*W48+$P49*W49+$P50*W50)/(SUM(W44:W50)),""))</f>
        <v>-</v>
      </c>
      <c r="S52" s="6"/>
      <c r="T52" s="14"/>
      <c r="U52" s="14"/>
      <c r="V52" s="14"/>
      <c r="W52" s="14"/>
    </row>
    <row r="53" spans="3:23" ht="3.75" customHeight="1" x14ac:dyDescent="0.3">
      <c r="C53" s="11"/>
      <c r="D53" s="11"/>
      <c r="E53" s="11"/>
      <c r="F53" s="10"/>
      <c r="G53" s="11"/>
      <c r="H53" s="11"/>
      <c r="I53" s="6"/>
      <c r="J53" s="11"/>
      <c r="K53" s="6"/>
      <c r="L53" s="6"/>
      <c r="M53" s="6"/>
      <c r="N53" s="11"/>
      <c r="O53" s="11"/>
      <c r="P53" s="11"/>
      <c r="Q53" s="11"/>
      <c r="R53" s="11"/>
      <c r="S53" s="6"/>
    </row>
    <row r="54" spans="3:23" ht="14.25" customHeight="1" x14ac:dyDescent="0.3">
      <c r="C54" s="11"/>
      <c r="D54" s="4">
        <v>4</v>
      </c>
      <c r="E54" s="1"/>
      <c r="F54" s="33"/>
      <c r="G54" s="1"/>
      <c r="H54" s="1"/>
      <c r="I54" s="82" t="s">
        <v>174</v>
      </c>
      <c r="J54" s="12"/>
      <c r="K54" s="6"/>
      <c r="L54" s="6"/>
      <c r="M54" s="6"/>
      <c r="N54" s="6"/>
      <c r="O54" s="6"/>
      <c r="P54" s="6"/>
      <c r="Q54" s="6"/>
      <c r="R54" s="13"/>
      <c r="S54" s="6"/>
      <c r="W54" s="5" t="s">
        <v>49</v>
      </c>
    </row>
    <row r="55" spans="3:23" ht="24" x14ac:dyDescent="0.3">
      <c r="C55" s="4" t="s">
        <v>175</v>
      </c>
      <c r="D55" s="4">
        <v>5</v>
      </c>
      <c r="E55" s="4" t="s">
        <v>52</v>
      </c>
      <c r="F55" s="4" t="s">
        <v>137</v>
      </c>
      <c r="G55" s="4" t="s">
        <v>176</v>
      </c>
      <c r="H55" s="4" t="s">
        <v>177</v>
      </c>
      <c r="I55" s="83" t="s">
        <v>140</v>
      </c>
      <c r="J55" s="12"/>
      <c r="K55" s="88" t="s">
        <v>178</v>
      </c>
      <c r="L55" s="89"/>
      <c r="M55" s="89"/>
      <c r="N55" s="59"/>
      <c r="O55" s="93"/>
      <c r="P55" s="94"/>
      <c r="Q55" s="4" t="str">
        <f t="shared" ref="Q55:Q61" si="6">IF($O55="N/A","",IF($P55="","",IF($P55&gt;=85%,"C","NC")))</f>
        <v/>
      </c>
      <c r="R55" s="8" t="str">
        <f t="shared" ref="R55:R61" si="7">IF($O55="N/A","",IF($P55="","",$P55*$W55))</f>
        <v/>
      </c>
      <c r="S55" s="6"/>
      <c r="T55" s="14"/>
      <c r="U55" s="14"/>
      <c r="V55" s="14"/>
      <c r="W55" s="52">
        <f t="shared" ref="W55:W61" si="8">IF(O55="N/A",0,D55)</f>
        <v>5</v>
      </c>
    </row>
    <row r="56" spans="3:23" ht="24" x14ac:dyDescent="0.3">
      <c r="C56" s="4" t="s">
        <v>179</v>
      </c>
      <c r="D56" s="4">
        <v>4</v>
      </c>
      <c r="E56" s="4" t="s">
        <v>52</v>
      </c>
      <c r="F56" s="4" t="s">
        <v>137</v>
      </c>
      <c r="G56" s="4" t="s">
        <v>180</v>
      </c>
      <c r="H56" s="4" t="s">
        <v>181</v>
      </c>
      <c r="I56" s="83" t="s">
        <v>182</v>
      </c>
      <c r="J56" s="12"/>
      <c r="K56" s="88" t="s">
        <v>183</v>
      </c>
      <c r="L56" s="89"/>
      <c r="M56" s="89"/>
      <c r="N56" s="59"/>
      <c r="O56" s="93"/>
      <c r="P56" s="94"/>
      <c r="Q56" s="4" t="str">
        <f t="shared" si="6"/>
        <v/>
      </c>
      <c r="R56" s="8" t="str">
        <f t="shared" si="7"/>
        <v/>
      </c>
      <c r="S56" s="6"/>
      <c r="T56" s="14"/>
      <c r="U56" s="14"/>
      <c r="V56" s="14"/>
      <c r="W56" s="52">
        <f t="shared" si="8"/>
        <v>4</v>
      </c>
    </row>
    <row r="57" spans="3:23" ht="24" x14ac:dyDescent="0.3">
      <c r="C57" s="4" t="s">
        <v>184</v>
      </c>
      <c r="D57" s="4">
        <v>1</v>
      </c>
      <c r="E57" s="4" t="s">
        <v>52</v>
      </c>
      <c r="F57" s="4" t="s">
        <v>137</v>
      </c>
      <c r="G57" s="4" t="s">
        <v>185</v>
      </c>
      <c r="H57" s="4" t="s">
        <v>186</v>
      </c>
      <c r="I57" s="83" t="s">
        <v>187</v>
      </c>
      <c r="J57" s="12"/>
      <c r="K57" s="88" t="s">
        <v>188</v>
      </c>
      <c r="L57" s="89"/>
      <c r="M57" s="89"/>
      <c r="N57" s="59"/>
      <c r="O57" s="93"/>
      <c r="P57" s="94"/>
      <c r="Q57" s="4" t="str">
        <f t="shared" si="6"/>
        <v/>
      </c>
      <c r="R57" s="8" t="str">
        <f t="shared" si="7"/>
        <v/>
      </c>
      <c r="S57" s="6"/>
      <c r="T57" s="14"/>
      <c r="U57" s="14"/>
      <c r="V57" s="14"/>
      <c r="W57" s="52">
        <f t="shared" si="8"/>
        <v>1</v>
      </c>
    </row>
    <row r="58" spans="3:23" ht="79.5" customHeight="1" x14ac:dyDescent="0.3">
      <c r="C58" s="4" t="s">
        <v>189</v>
      </c>
      <c r="D58" s="4">
        <v>3</v>
      </c>
      <c r="E58" s="4" t="s">
        <v>52</v>
      </c>
      <c r="F58" s="4" t="s">
        <v>137</v>
      </c>
      <c r="G58" s="4" t="s">
        <v>190</v>
      </c>
      <c r="H58" s="4" t="s">
        <v>186</v>
      </c>
      <c r="I58" s="83" t="s">
        <v>191</v>
      </c>
      <c r="J58" s="12"/>
      <c r="K58" s="88" t="s">
        <v>192</v>
      </c>
      <c r="L58" s="89"/>
      <c r="M58" s="89"/>
      <c r="N58" s="59"/>
      <c r="O58" s="93"/>
      <c r="P58" s="94"/>
      <c r="Q58" s="4" t="str">
        <f t="shared" si="6"/>
        <v/>
      </c>
      <c r="R58" s="8" t="str">
        <f t="shared" si="7"/>
        <v/>
      </c>
      <c r="S58" s="6"/>
      <c r="T58" s="14"/>
      <c r="U58" s="14"/>
      <c r="V58" s="14"/>
      <c r="W58" s="52">
        <f t="shared" si="8"/>
        <v>3</v>
      </c>
    </row>
    <row r="59" spans="3:23" ht="24" x14ac:dyDescent="0.3">
      <c r="C59" s="4" t="s">
        <v>193</v>
      </c>
      <c r="D59" s="4">
        <v>5</v>
      </c>
      <c r="E59" s="4" t="s">
        <v>101</v>
      </c>
      <c r="F59" s="4" t="s">
        <v>137</v>
      </c>
      <c r="G59" s="4" t="s">
        <v>194</v>
      </c>
      <c r="H59" s="4" t="s">
        <v>195</v>
      </c>
      <c r="I59" s="83" t="s">
        <v>196</v>
      </c>
      <c r="J59" s="12"/>
      <c r="K59" s="88" t="s">
        <v>156</v>
      </c>
      <c r="L59" s="89"/>
      <c r="M59" s="89"/>
      <c r="N59" s="59"/>
      <c r="O59" s="93"/>
      <c r="P59" s="94"/>
      <c r="Q59" s="4" t="str">
        <f t="shared" si="6"/>
        <v/>
      </c>
      <c r="R59" s="8" t="str">
        <f t="shared" si="7"/>
        <v/>
      </c>
      <c r="S59" s="6"/>
      <c r="T59" s="14"/>
      <c r="U59" s="14"/>
      <c r="V59" s="14"/>
      <c r="W59" s="52">
        <f t="shared" si="8"/>
        <v>5</v>
      </c>
    </row>
    <row r="60" spans="3:23" x14ac:dyDescent="0.3">
      <c r="C60" s="4" t="s">
        <v>197</v>
      </c>
      <c r="D60" s="4">
        <v>4</v>
      </c>
      <c r="E60" s="4" t="s">
        <v>101</v>
      </c>
      <c r="F60" s="4" t="s">
        <v>137</v>
      </c>
      <c r="G60" s="4" t="s">
        <v>198</v>
      </c>
      <c r="H60" s="4" t="s">
        <v>199</v>
      </c>
      <c r="I60" s="83" t="s">
        <v>200</v>
      </c>
      <c r="J60" s="12"/>
      <c r="K60" s="88" t="s">
        <v>201</v>
      </c>
      <c r="L60" s="89"/>
      <c r="M60" s="89"/>
      <c r="N60" s="59"/>
      <c r="O60" s="93"/>
      <c r="P60" s="94"/>
      <c r="Q60" s="4" t="str">
        <f t="shared" si="6"/>
        <v/>
      </c>
      <c r="R60" s="8" t="str">
        <f t="shared" si="7"/>
        <v/>
      </c>
      <c r="S60" s="6"/>
      <c r="T60" s="14"/>
      <c r="U60" s="14"/>
      <c r="V60" s="14"/>
      <c r="W60" s="52">
        <f t="shared" si="8"/>
        <v>4</v>
      </c>
    </row>
    <row r="61" spans="3:23" ht="24" x14ac:dyDescent="0.3">
      <c r="C61" s="4" t="s">
        <v>202</v>
      </c>
      <c r="D61" s="4">
        <v>5</v>
      </c>
      <c r="E61" s="4" t="s">
        <v>101</v>
      </c>
      <c r="F61" s="4" t="s">
        <v>137</v>
      </c>
      <c r="G61" s="4" t="s">
        <v>203</v>
      </c>
      <c r="H61" s="4" t="s">
        <v>186</v>
      </c>
      <c r="I61" s="83" t="s">
        <v>204</v>
      </c>
      <c r="J61" s="12"/>
      <c r="K61" s="88" t="s">
        <v>205</v>
      </c>
      <c r="L61" s="89"/>
      <c r="M61" s="89"/>
      <c r="N61" s="59"/>
      <c r="O61" s="93"/>
      <c r="P61" s="94"/>
      <c r="Q61" s="4" t="str">
        <f t="shared" si="6"/>
        <v/>
      </c>
      <c r="R61" s="8" t="str">
        <f t="shared" si="7"/>
        <v/>
      </c>
      <c r="S61" s="6"/>
      <c r="T61" s="14"/>
      <c r="U61" s="14"/>
      <c r="V61" s="14"/>
      <c r="W61" s="52">
        <f t="shared" si="8"/>
        <v>5</v>
      </c>
    </row>
    <row r="62" spans="3:23" x14ac:dyDescent="0.3">
      <c r="C62" s="103"/>
      <c r="D62" s="103"/>
      <c r="E62" s="103"/>
      <c r="F62" s="103"/>
      <c r="G62" s="103"/>
      <c r="H62" s="103"/>
      <c r="I62" s="103"/>
      <c r="J62" s="103"/>
      <c r="K62" s="103"/>
      <c r="L62" s="103"/>
      <c r="M62" s="103"/>
      <c r="N62" s="53"/>
      <c r="O62" s="11"/>
      <c r="P62" s="11"/>
      <c r="Q62" s="11"/>
      <c r="R62" s="38" t="str">
        <f>IF(SUM(R55:R61)=0,"-",IFERROR(SUM(R55:R61),""))</f>
        <v>-</v>
      </c>
      <c r="S62" s="6"/>
      <c r="T62" s="14"/>
      <c r="U62" s="14"/>
      <c r="V62" s="14"/>
      <c r="W62" s="14"/>
    </row>
    <row r="63" spans="3:23" x14ac:dyDescent="0.3">
      <c r="C63" s="103"/>
      <c r="D63" s="103"/>
      <c r="E63" s="103"/>
      <c r="F63" s="103"/>
      <c r="G63" s="103"/>
      <c r="H63" s="103"/>
      <c r="I63" s="103"/>
      <c r="J63" s="103"/>
      <c r="K63" s="103"/>
      <c r="L63" s="103"/>
      <c r="M63" s="103"/>
      <c r="N63" s="53"/>
      <c r="O63" s="54" t="str">
        <f>IF(O55="N/A",IF(O56="N/A",IF(O57="N/A",IF(O58="N/A",IF(O59="N/A",IF(O60="N/A",IF(O61="N/A","N/A","-"),"-"),"-"),"-"),"-"),"-"),"-")</f>
        <v>-</v>
      </c>
      <c r="P63" s="58" t="str">
        <f>IF(O63="N/A","N/A",$R63)</f>
        <v>-</v>
      </c>
      <c r="Q63" s="54"/>
      <c r="R63" s="38" t="str">
        <f>IF(R62="-","-",IFERROR(($P55*W55+$P56*W56+$P57*W57+$P58*W58+$P59*W59+$P60*W60+$P61*W61)/(SUM(W55:W61)),""))</f>
        <v>-</v>
      </c>
      <c r="S63" s="6"/>
      <c r="T63" s="14"/>
      <c r="U63" s="14"/>
      <c r="V63" s="14"/>
      <c r="W63" s="14"/>
    </row>
    <row r="64" spans="3:23" ht="3.75" customHeight="1" x14ac:dyDescent="0.3">
      <c r="C64" s="11"/>
      <c r="D64" s="11"/>
      <c r="E64" s="11"/>
      <c r="F64" s="10"/>
      <c r="G64" s="11"/>
      <c r="H64" s="11"/>
      <c r="I64" s="6"/>
      <c r="J64" s="11"/>
      <c r="K64" s="6"/>
      <c r="L64" s="6"/>
      <c r="M64" s="6"/>
      <c r="N64" s="11"/>
      <c r="O64" s="11"/>
      <c r="P64" s="11"/>
      <c r="Q64" s="11"/>
      <c r="R64" s="11"/>
      <c r="S64" s="6"/>
    </row>
    <row r="65" spans="3:23" x14ac:dyDescent="0.3">
      <c r="C65" s="11"/>
      <c r="D65" s="4">
        <v>2</v>
      </c>
      <c r="E65" s="1"/>
      <c r="F65" s="33"/>
      <c r="G65" s="1"/>
      <c r="H65" s="1"/>
      <c r="I65" s="82" t="s">
        <v>206</v>
      </c>
      <c r="J65" s="12"/>
      <c r="K65" s="6"/>
      <c r="L65" s="6"/>
      <c r="M65" s="6"/>
      <c r="N65" s="6"/>
      <c r="O65" s="12"/>
      <c r="P65" s="12"/>
      <c r="Q65" s="12"/>
      <c r="R65" s="12"/>
      <c r="S65" s="12"/>
      <c r="T65" s="14"/>
      <c r="U65" s="14"/>
      <c r="V65" s="14"/>
      <c r="W65" s="5" t="s">
        <v>49</v>
      </c>
    </row>
    <row r="66" spans="3:23" ht="24" x14ac:dyDescent="0.3">
      <c r="C66" s="4" t="s">
        <v>207</v>
      </c>
      <c r="D66" s="4">
        <v>5</v>
      </c>
      <c r="E66" s="4" t="s">
        <v>167</v>
      </c>
      <c r="F66" s="77" t="s">
        <v>53</v>
      </c>
      <c r="G66" s="4" t="s">
        <v>169</v>
      </c>
      <c r="H66" s="4" t="s">
        <v>208</v>
      </c>
      <c r="I66" s="83" t="s">
        <v>209</v>
      </c>
      <c r="J66" s="12"/>
      <c r="K66" s="88" t="s">
        <v>210</v>
      </c>
      <c r="L66" s="89" t="s">
        <v>211</v>
      </c>
      <c r="M66" s="89"/>
      <c r="N66" s="59"/>
      <c r="O66" s="93"/>
      <c r="P66" s="94"/>
      <c r="Q66" s="4" t="str">
        <f>IF($O66="N/A","",IF($P66="","",IF($P66&gt;=85%,"C","NC")))</f>
        <v/>
      </c>
      <c r="R66" s="8" t="str">
        <f>IF($O66="N/A","",IF($P66="","",$P66*$W66))</f>
        <v/>
      </c>
      <c r="S66" s="6"/>
      <c r="T66" s="14"/>
      <c r="U66" s="14"/>
      <c r="V66" s="14"/>
      <c r="W66" s="52">
        <f>IF(O66="N/A",0,D66)</f>
        <v>5</v>
      </c>
    </row>
    <row r="67" spans="3:23" ht="24" x14ac:dyDescent="0.3">
      <c r="C67" s="4" t="s">
        <v>212</v>
      </c>
      <c r="D67" s="4">
        <v>4</v>
      </c>
      <c r="E67" s="4" t="s">
        <v>167</v>
      </c>
      <c r="F67" s="77" t="s">
        <v>53</v>
      </c>
      <c r="G67" s="4" t="s">
        <v>169</v>
      </c>
      <c r="H67" s="4" t="s">
        <v>208</v>
      </c>
      <c r="I67" s="83" t="s">
        <v>213</v>
      </c>
      <c r="J67" s="12"/>
      <c r="K67" s="88" t="s">
        <v>210</v>
      </c>
      <c r="L67" s="89" t="s">
        <v>211</v>
      </c>
      <c r="M67" s="89"/>
      <c r="N67" s="59"/>
      <c r="O67" s="93"/>
      <c r="P67" s="94"/>
      <c r="Q67" s="4" t="str">
        <f>IF($O67="N/A","",IF($P67="","",IF($P67&gt;=85%,"C","NC")))</f>
        <v/>
      </c>
      <c r="R67" s="8" t="str">
        <f>IF($O67="N/A","",IF($P67="","",$P67*$W67))</f>
        <v/>
      </c>
      <c r="S67" s="6"/>
      <c r="T67" s="14"/>
      <c r="U67" s="14"/>
      <c r="V67" s="14"/>
      <c r="W67" s="52">
        <f>IF(O67="N/A",0,D67)</f>
        <v>4</v>
      </c>
    </row>
    <row r="68" spans="3:23" ht="24" x14ac:dyDescent="0.3">
      <c r="C68" s="4" t="s">
        <v>214</v>
      </c>
      <c r="D68" s="4">
        <v>3</v>
      </c>
      <c r="E68" s="4" t="s">
        <v>167</v>
      </c>
      <c r="F68" s="77" t="s">
        <v>53</v>
      </c>
      <c r="G68" s="4" t="s">
        <v>169</v>
      </c>
      <c r="H68" s="4" t="s">
        <v>208</v>
      </c>
      <c r="I68" s="83" t="s">
        <v>215</v>
      </c>
      <c r="J68" s="12"/>
      <c r="K68" s="88" t="s">
        <v>210</v>
      </c>
      <c r="L68" s="89" t="s">
        <v>211</v>
      </c>
      <c r="M68" s="89"/>
      <c r="N68" s="59"/>
      <c r="O68" s="93"/>
      <c r="P68" s="94"/>
      <c r="Q68" s="4" t="str">
        <f>IF($O68="N/A","",IF($P68="","",IF($P68&gt;=85%,"C","NC")))</f>
        <v/>
      </c>
      <c r="R68" s="8" t="str">
        <f>IF($O68="N/A","",IF($P68="","",$P68*$W68))</f>
        <v/>
      </c>
      <c r="S68" s="6"/>
      <c r="T68" s="14"/>
      <c r="U68" s="14"/>
      <c r="V68" s="14"/>
      <c r="W68" s="52">
        <f>IF(O68="N/A",0,D68)</f>
        <v>3</v>
      </c>
    </row>
    <row r="69" spans="3:23" x14ac:dyDescent="0.3">
      <c r="C69" s="103"/>
      <c r="D69" s="103"/>
      <c r="E69" s="103"/>
      <c r="F69" s="103"/>
      <c r="G69" s="103"/>
      <c r="H69" s="103"/>
      <c r="I69" s="103"/>
      <c r="J69" s="103"/>
      <c r="K69" s="103"/>
      <c r="L69" s="103"/>
      <c r="M69" s="103"/>
      <c r="N69" s="53"/>
      <c r="O69" s="11"/>
      <c r="P69" s="11"/>
      <c r="Q69" s="11"/>
      <c r="R69" s="38" t="str">
        <f>IF(SUM(R66:R68)=0,"-",IFERROR(SUM(R66:R68),""))</f>
        <v>-</v>
      </c>
      <c r="S69" s="6"/>
      <c r="T69" s="14"/>
      <c r="U69" s="14"/>
      <c r="V69" s="14"/>
      <c r="W69" s="14"/>
    </row>
    <row r="70" spans="3:23" x14ac:dyDescent="0.3">
      <c r="C70" s="103"/>
      <c r="D70" s="103"/>
      <c r="E70" s="103"/>
      <c r="F70" s="103"/>
      <c r="G70" s="103"/>
      <c r="H70" s="103"/>
      <c r="I70" s="103"/>
      <c r="J70" s="103"/>
      <c r="K70" s="103"/>
      <c r="L70" s="103"/>
      <c r="M70" s="103"/>
      <c r="N70" s="53"/>
      <c r="O70" s="54" t="str">
        <f>IF(O66="N/A",IF(O67="N/A",IF(O68="N/A","N/A","-"),"-"),"-")</f>
        <v>-</v>
      </c>
      <c r="P70" s="58" t="str">
        <f>IF(O70="N/A","N/A",$R70)</f>
        <v>-</v>
      </c>
      <c r="Q70" s="54"/>
      <c r="R70" s="38" t="str">
        <f>IF(R69="-","-",IFERROR(($P66*W66+$P67*W67+$P68*W68)/(SUM(W66:W68)),""))</f>
        <v>-</v>
      </c>
      <c r="S70" s="6"/>
      <c r="T70" s="14"/>
      <c r="U70" s="14"/>
      <c r="V70" s="14"/>
      <c r="W70" s="14"/>
    </row>
    <row r="71" spans="3:23" ht="3.75" customHeight="1" x14ac:dyDescent="0.3">
      <c r="C71" s="11"/>
      <c r="D71" s="11"/>
      <c r="E71" s="11"/>
      <c r="F71" s="10"/>
      <c r="G71" s="11"/>
      <c r="H71" s="11"/>
      <c r="I71" s="6"/>
      <c r="J71" s="11"/>
      <c r="K71" s="6"/>
      <c r="L71" s="6"/>
      <c r="M71" s="6"/>
      <c r="N71" s="11"/>
      <c r="O71" s="11"/>
      <c r="P71" s="11"/>
      <c r="Q71" s="11"/>
      <c r="R71" s="11"/>
      <c r="S71" s="6"/>
    </row>
    <row r="72" spans="3:23" x14ac:dyDescent="0.3">
      <c r="C72" s="11"/>
      <c r="D72" s="4">
        <v>5</v>
      </c>
      <c r="E72" s="1"/>
      <c r="F72" s="33"/>
      <c r="G72" s="1"/>
      <c r="H72" s="1"/>
      <c r="I72" s="82" t="s">
        <v>216</v>
      </c>
      <c r="J72" s="12"/>
      <c r="K72" s="6"/>
      <c r="L72" s="6"/>
      <c r="M72" s="6"/>
      <c r="N72" s="6"/>
      <c r="O72" s="12"/>
      <c r="P72" s="12"/>
      <c r="Q72" s="12"/>
      <c r="R72" s="12"/>
      <c r="S72" s="12"/>
      <c r="T72" s="14"/>
      <c r="U72" s="14"/>
      <c r="V72" s="14"/>
      <c r="W72" s="5" t="s">
        <v>49</v>
      </c>
    </row>
    <row r="73" spans="3:23" x14ac:dyDescent="0.3">
      <c r="C73" s="4" t="s">
        <v>217</v>
      </c>
      <c r="D73" s="4">
        <v>5</v>
      </c>
      <c r="E73" s="4" t="s">
        <v>52</v>
      </c>
      <c r="F73" s="77" t="s">
        <v>218</v>
      </c>
      <c r="G73" s="4" t="s">
        <v>219</v>
      </c>
      <c r="H73" s="4" t="s">
        <v>220</v>
      </c>
      <c r="I73" s="83" t="s">
        <v>221</v>
      </c>
      <c r="J73" s="12"/>
      <c r="K73" s="88" t="s">
        <v>222</v>
      </c>
      <c r="L73" s="89"/>
      <c r="M73" s="89"/>
      <c r="N73" s="59"/>
      <c r="O73" s="93"/>
      <c r="P73" s="94"/>
      <c r="Q73" s="4" t="str">
        <f>IF($O73="N/A","",IF($P73="","",IF($P73&gt;=85%,"C","NC")))</f>
        <v/>
      </c>
      <c r="R73" s="8" t="str">
        <f>IF($O73="N/A","",IF($P73="","",$P73*$W73))</f>
        <v/>
      </c>
      <c r="S73" s="6"/>
      <c r="T73" s="14"/>
      <c r="U73" s="14"/>
      <c r="V73" s="14"/>
      <c r="W73" s="52">
        <f>IF(O73="N/A",0,D73)</f>
        <v>5</v>
      </c>
    </row>
    <row r="74" spans="3:23" ht="48" x14ac:dyDescent="0.3">
      <c r="C74" s="4" t="s">
        <v>223</v>
      </c>
      <c r="D74" s="4">
        <v>5</v>
      </c>
      <c r="E74" s="4" t="s">
        <v>52</v>
      </c>
      <c r="F74" s="77" t="s">
        <v>218</v>
      </c>
      <c r="G74" s="4" t="s">
        <v>219</v>
      </c>
      <c r="H74" s="4" t="s">
        <v>220</v>
      </c>
      <c r="I74" s="83" t="s">
        <v>224</v>
      </c>
      <c r="J74" s="12"/>
      <c r="K74" s="88" t="s">
        <v>225</v>
      </c>
      <c r="L74" s="89"/>
      <c r="M74" s="89"/>
      <c r="N74" s="59"/>
      <c r="O74" s="93"/>
      <c r="P74" s="94"/>
      <c r="Q74" s="4" t="str">
        <f>IF($O74="N/A","",IF($P74="","",IF($P74&gt;=85%,"C","NC")))</f>
        <v/>
      </c>
      <c r="R74" s="8" t="str">
        <f>IF($O74="N/A","",IF($P74="","",$P74*$W74))</f>
        <v/>
      </c>
      <c r="S74" s="6"/>
      <c r="T74" s="14"/>
      <c r="U74" s="14"/>
      <c r="V74" s="14"/>
      <c r="W74" s="52">
        <f>IF(O74="N/A",0,D74)</f>
        <v>5</v>
      </c>
    </row>
    <row r="75" spans="3:23" x14ac:dyDescent="0.3">
      <c r="C75" s="103"/>
      <c r="D75" s="103"/>
      <c r="E75" s="103"/>
      <c r="F75" s="103"/>
      <c r="G75" s="103"/>
      <c r="H75" s="103"/>
      <c r="I75" s="103"/>
      <c r="J75" s="103"/>
      <c r="K75" s="103"/>
      <c r="L75" s="103"/>
      <c r="M75" s="103"/>
      <c r="N75" s="53"/>
      <c r="O75" s="11"/>
      <c r="P75" s="11"/>
      <c r="Q75" s="11"/>
      <c r="R75" s="38" t="str">
        <f>IF(SUM(R73:R74)=0,"-",IFERROR(SUM(R73:R74),""))</f>
        <v>-</v>
      </c>
      <c r="S75" s="6"/>
      <c r="T75" s="14"/>
      <c r="U75" s="14"/>
      <c r="V75" s="14"/>
      <c r="W75" s="14"/>
    </row>
    <row r="76" spans="3:23" x14ac:dyDescent="0.3">
      <c r="C76" s="103"/>
      <c r="D76" s="103"/>
      <c r="E76" s="103"/>
      <c r="F76" s="103"/>
      <c r="G76" s="103"/>
      <c r="H76" s="103"/>
      <c r="I76" s="103"/>
      <c r="J76" s="103"/>
      <c r="K76" s="103"/>
      <c r="L76" s="103"/>
      <c r="M76" s="103"/>
      <c r="N76" s="53"/>
      <c r="O76" s="54" t="str">
        <f>IF(O73="N/A",IF(O74="N/A","N/A","-"),"-")</f>
        <v>-</v>
      </c>
      <c r="P76" s="58" t="str">
        <f>IF(O76="N/A","N/A",$R76)</f>
        <v>-</v>
      </c>
      <c r="Q76" s="54"/>
      <c r="R76" s="38" t="str">
        <f>IF(R75="-","-",IFERROR(($P73*W73+$P74*W74)/(SUM(W73:W74)),""))</f>
        <v>-</v>
      </c>
      <c r="S76" s="6"/>
      <c r="T76" s="14"/>
      <c r="U76" s="14"/>
      <c r="V76" s="14"/>
      <c r="W76" s="14"/>
    </row>
    <row r="77" spans="3:23" ht="3.75" customHeight="1" x14ac:dyDescent="0.3">
      <c r="C77" s="11"/>
      <c r="D77" s="11"/>
      <c r="E77" s="11"/>
      <c r="F77" s="10"/>
      <c r="G77" s="11"/>
      <c r="H77" s="11"/>
      <c r="I77" s="6"/>
      <c r="J77" s="11"/>
      <c r="K77" s="6"/>
      <c r="L77" s="6"/>
      <c r="M77" s="6"/>
      <c r="N77" s="11"/>
      <c r="O77" s="11"/>
      <c r="P77" s="11"/>
      <c r="Q77" s="11"/>
      <c r="R77" s="11"/>
      <c r="S77" s="6"/>
    </row>
    <row r="78" spans="3:23" x14ac:dyDescent="0.3">
      <c r="C78" s="11"/>
      <c r="D78" s="4">
        <v>5</v>
      </c>
      <c r="E78" s="1"/>
      <c r="F78" s="33"/>
      <c r="G78" s="1"/>
      <c r="H78" s="1"/>
      <c r="I78" s="82" t="s">
        <v>226</v>
      </c>
      <c r="J78" s="12"/>
      <c r="K78" s="6"/>
      <c r="L78" s="6"/>
      <c r="M78" s="6"/>
      <c r="N78" s="6"/>
      <c r="O78" s="14"/>
      <c r="P78" s="14"/>
      <c r="Q78" s="14"/>
      <c r="R78" s="17"/>
      <c r="S78" s="14"/>
      <c r="T78" s="14"/>
      <c r="U78" s="14"/>
      <c r="V78" s="14"/>
      <c r="W78" s="5" t="s">
        <v>49</v>
      </c>
    </row>
    <row r="79" spans="3:23" ht="24" x14ac:dyDescent="0.3">
      <c r="C79" s="4" t="s">
        <v>227</v>
      </c>
      <c r="D79" s="4">
        <v>5</v>
      </c>
      <c r="E79" s="4" t="s">
        <v>52</v>
      </c>
      <c r="F79" s="77" t="s">
        <v>137</v>
      </c>
      <c r="G79" s="4" t="s">
        <v>228</v>
      </c>
      <c r="H79" s="4" t="s">
        <v>229</v>
      </c>
      <c r="I79" s="83" t="s">
        <v>230</v>
      </c>
      <c r="J79" s="12"/>
      <c r="K79" s="90" t="s">
        <v>231</v>
      </c>
      <c r="L79" s="89"/>
      <c r="M79" s="89"/>
      <c r="N79" s="59"/>
      <c r="O79" s="93"/>
      <c r="P79" s="94"/>
      <c r="Q79" s="4" t="str">
        <f>IF($O79="N/A","",IF($P79="","",IF($P79&gt;=85%,"C","NC")))</f>
        <v/>
      </c>
      <c r="R79" s="8" t="str">
        <f>IF($O79="N/A","",IF($P79="","",$P79*$W79))</f>
        <v/>
      </c>
      <c r="S79" s="6"/>
      <c r="T79" s="14"/>
      <c r="U79" s="14"/>
      <c r="V79" s="14"/>
      <c r="W79" s="52">
        <f>IF(O79="N/A",0,D79)</f>
        <v>5</v>
      </c>
    </row>
    <row r="80" spans="3:23" ht="24" x14ac:dyDescent="0.3">
      <c r="C80" s="4" t="s">
        <v>232</v>
      </c>
      <c r="D80" s="4">
        <v>5</v>
      </c>
      <c r="E80" s="4" t="s">
        <v>101</v>
      </c>
      <c r="F80" s="77" t="s">
        <v>53</v>
      </c>
      <c r="G80" s="4" t="s">
        <v>233</v>
      </c>
      <c r="H80" s="4" t="s">
        <v>234</v>
      </c>
      <c r="I80" s="83" t="s">
        <v>235</v>
      </c>
      <c r="J80" s="12"/>
      <c r="K80" s="90" t="s">
        <v>236</v>
      </c>
      <c r="L80" s="89"/>
      <c r="M80" s="89"/>
      <c r="N80" s="59"/>
      <c r="O80" s="93"/>
      <c r="P80" s="94"/>
      <c r="Q80" s="4" t="str">
        <f>IF($O80="N/A","",IF($P80="","",IF($P80&gt;=85%,"C","NC")))</f>
        <v/>
      </c>
      <c r="R80" s="8" t="str">
        <f>IF($O80="N/A","",IF($P80="","",$P80*$W80))</f>
        <v/>
      </c>
      <c r="S80" s="6"/>
      <c r="T80" s="14"/>
      <c r="U80" s="14"/>
      <c r="V80" s="14"/>
      <c r="W80" s="52">
        <f>IF(O80="N/A",0,D80)</f>
        <v>5</v>
      </c>
    </row>
    <row r="81" spans="3:23" ht="24" x14ac:dyDescent="0.3">
      <c r="C81" s="4" t="s">
        <v>237</v>
      </c>
      <c r="D81" s="4">
        <v>5</v>
      </c>
      <c r="E81" s="4" t="s">
        <v>101</v>
      </c>
      <c r="F81" s="77" t="s">
        <v>53</v>
      </c>
      <c r="G81" s="4" t="s">
        <v>169</v>
      </c>
      <c r="H81" s="4" t="s">
        <v>238</v>
      </c>
      <c r="I81" s="83" t="s">
        <v>239</v>
      </c>
      <c r="J81" s="12"/>
      <c r="K81" s="90" t="s">
        <v>240</v>
      </c>
      <c r="L81" s="89" t="s">
        <v>241</v>
      </c>
      <c r="M81" s="89"/>
      <c r="N81" s="59"/>
      <c r="O81" s="93"/>
      <c r="P81" s="94"/>
      <c r="Q81" s="4" t="str">
        <f>IF($O81="N/A","",IF($P81="","",IF($P81&gt;=85%,"C","NC")))</f>
        <v/>
      </c>
      <c r="R81" s="8" t="str">
        <f>IF($O81="N/A","",IF($P81="","",$P81*$W81))</f>
        <v/>
      </c>
      <c r="S81" s="6"/>
      <c r="T81" s="14"/>
      <c r="U81" s="14"/>
      <c r="V81" s="14"/>
      <c r="W81" s="52">
        <f>IF(O81="N/A",0,D81)</f>
        <v>5</v>
      </c>
    </row>
    <row r="82" spans="3:23" x14ac:dyDescent="0.3">
      <c r="C82" s="103"/>
      <c r="D82" s="103"/>
      <c r="E82" s="103"/>
      <c r="F82" s="103"/>
      <c r="G82" s="103"/>
      <c r="H82" s="103"/>
      <c r="I82" s="103"/>
      <c r="J82" s="103"/>
      <c r="K82" s="103"/>
      <c r="L82" s="103"/>
      <c r="M82" s="103"/>
      <c r="N82" s="53"/>
      <c r="O82" s="11"/>
      <c r="P82" s="11"/>
      <c r="Q82" s="11"/>
      <c r="R82" s="38" t="str">
        <f>IF(SUM(R79:R81)=0,"-",IFERROR(SUM(R79:R81),""))</f>
        <v>-</v>
      </c>
      <c r="S82" s="6"/>
      <c r="T82" s="14"/>
      <c r="U82" s="14"/>
      <c r="V82" s="14"/>
      <c r="W82" s="14"/>
    </row>
    <row r="83" spans="3:23" x14ac:dyDescent="0.3">
      <c r="C83" s="103"/>
      <c r="D83" s="103"/>
      <c r="E83" s="103"/>
      <c r="F83" s="103"/>
      <c r="G83" s="103"/>
      <c r="H83" s="103"/>
      <c r="I83" s="103"/>
      <c r="J83" s="103"/>
      <c r="K83" s="103"/>
      <c r="L83" s="103"/>
      <c r="M83" s="103"/>
      <c r="N83" s="53"/>
      <c r="O83" s="54" t="str">
        <f>IF(O79="N/A",IF(O80="N/A",IF(O81="N/A","N/A","-"),"-"),"-")</f>
        <v>-</v>
      </c>
      <c r="P83" s="58" t="str">
        <f>IF(O83="N/A","N/A",$R83)</f>
        <v>-</v>
      </c>
      <c r="Q83" s="54"/>
      <c r="R83" s="38" t="str">
        <f>IF(R82="-","-",IFERROR(($P79*W79+$P80*W80+$P81*W81)/(SUM(W79:W81)),""))</f>
        <v>-</v>
      </c>
      <c r="S83" s="6"/>
      <c r="T83" s="14"/>
      <c r="U83" s="14"/>
      <c r="V83" s="14"/>
      <c r="W83" s="14"/>
    </row>
    <row r="84" spans="3:23" ht="3.75" customHeight="1" x14ac:dyDescent="0.3">
      <c r="C84" s="11"/>
      <c r="D84" s="11"/>
      <c r="E84" s="11"/>
      <c r="F84" s="10"/>
      <c r="G84" s="11"/>
      <c r="H84" s="11"/>
      <c r="I84" s="6"/>
      <c r="J84" s="11"/>
      <c r="K84" s="6"/>
      <c r="L84" s="6"/>
      <c r="M84" s="6"/>
      <c r="N84" s="11"/>
      <c r="O84" s="11"/>
      <c r="P84" s="11"/>
      <c r="Q84" s="11"/>
      <c r="R84" s="11"/>
      <c r="S84" s="6"/>
    </row>
    <row r="85" spans="3:23" ht="14.25" customHeight="1" x14ac:dyDescent="0.3">
      <c r="C85" s="11"/>
      <c r="D85" s="4">
        <v>5</v>
      </c>
      <c r="E85" s="1"/>
      <c r="F85" s="33"/>
      <c r="G85" s="1"/>
      <c r="H85" s="1"/>
      <c r="I85" s="82" t="s">
        <v>242</v>
      </c>
      <c r="J85" s="12"/>
      <c r="K85" s="6"/>
      <c r="L85" s="6"/>
      <c r="M85" s="6"/>
      <c r="N85" s="6"/>
      <c r="O85" s="12"/>
      <c r="P85" s="12"/>
      <c r="Q85" s="12"/>
      <c r="R85" s="12"/>
      <c r="S85" s="12"/>
      <c r="T85" s="14"/>
      <c r="U85" s="14"/>
      <c r="V85" s="14"/>
      <c r="W85" s="5" t="s">
        <v>49</v>
      </c>
    </row>
    <row r="86" spans="3:23" ht="48" x14ac:dyDescent="0.3">
      <c r="C86" s="4" t="s">
        <v>243</v>
      </c>
      <c r="D86" s="4">
        <v>5</v>
      </c>
      <c r="E86" s="4" t="s">
        <v>52</v>
      </c>
      <c r="F86" s="77" t="s">
        <v>53</v>
      </c>
      <c r="G86" s="4" t="s">
        <v>244</v>
      </c>
      <c r="H86" s="4" t="s">
        <v>245</v>
      </c>
      <c r="I86" s="83" t="s">
        <v>246</v>
      </c>
      <c r="J86" s="12"/>
      <c r="K86" s="88" t="s">
        <v>247</v>
      </c>
      <c r="L86" s="89"/>
      <c r="M86" s="89"/>
      <c r="N86" s="59"/>
      <c r="O86" s="93"/>
      <c r="P86" s="94"/>
      <c r="Q86" s="4" t="str">
        <f>IF($O86="N/A","",IF($P86="","",IF($P86&gt;=85%,"C","NC")))</f>
        <v/>
      </c>
      <c r="R86" s="8" t="str">
        <f>IF($O86="N/A","",IF($P86="","",$P86*$W86))</f>
        <v/>
      </c>
      <c r="S86" s="6"/>
      <c r="T86" s="14"/>
      <c r="U86" s="14"/>
      <c r="V86" s="14"/>
      <c r="W86" s="52">
        <f>IF(O86="N/A",0,D86)</f>
        <v>5</v>
      </c>
    </row>
    <row r="87" spans="3:23" ht="36" x14ac:dyDescent="0.3">
      <c r="C87" s="4" t="s">
        <v>248</v>
      </c>
      <c r="D87" s="4">
        <v>4</v>
      </c>
      <c r="E87" s="4" t="s">
        <v>101</v>
      </c>
      <c r="F87" s="77" t="s">
        <v>53</v>
      </c>
      <c r="G87" s="4" t="s">
        <v>249</v>
      </c>
      <c r="H87" s="85" t="s">
        <v>250</v>
      </c>
      <c r="I87" s="83" t="s">
        <v>251</v>
      </c>
      <c r="J87" s="12"/>
      <c r="K87" s="88" t="s">
        <v>252</v>
      </c>
      <c r="L87" s="89"/>
      <c r="M87" s="89"/>
      <c r="N87" s="59"/>
      <c r="O87" s="93"/>
      <c r="P87" s="94"/>
      <c r="Q87" s="4" t="str">
        <f>IF($O87="N/A","",IF($P87="","",IF($P87&gt;=85%,"C","NC")))</f>
        <v/>
      </c>
      <c r="R87" s="8" t="str">
        <f>IF($O87="N/A","",IF($P87="","",$P87*$W87))</f>
        <v/>
      </c>
      <c r="S87" s="6"/>
      <c r="T87" s="14"/>
      <c r="U87" s="14"/>
      <c r="V87" s="14"/>
      <c r="W87" s="52">
        <f>IF(O87="N/A",0,D87)</f>
        <v>4</v>
      </c>
    </row>
    <row r="88" spans="3:23" ht="36" x14ac:dyDescent="0.3">
      <c r="C88" s="4" t="s">
        <v>253</v>
      </c>
      <c r="D88" s="4">
        <v>3</v>
      </c>
      <c r="E88" s="4" t="s">
        <v>101</v>
      </c>
      <c r="F88" s="77" t="s">
        <v>53</v>
      </c>
      <c r="G88" s="4" t="s">
        <v>254</v>
      </c>
      <c r="H88" s="85" t="s">
        <v>255</v>
      </c>
      <c r="I88" s="83" t="s">
        <v>256</v>
      </c>
      <c r="J88" s="12"/>
      <c r="K88" s="88" t="s">
        <v>257</v>
      </c>
      <c r="L88" s="89" t="s">
        <v>241</v>
      </c>
      <c r="M88" s="89"/>
      <c r="N88" s="59"/>
      <c r="O88" s="93"/>
      <c r="P88" s="94"/>
      <c r="Q88" s="4" t="str">
        <f>IF($O88="N/A","",IF($P88="","",IF($P88&gt;=85%,"C","NC")))</f>
        <v/>
      </c>
      <c r="R88" s="8" t="str">
        <f>IF($O88="N/A","",IF($P88="","",$P88*$W88))</f>
        <v/>
      </c>
      <c r="S88" s="6"/>
      <c r="T88" s="14"/>
      <c r="U88" s="14"/>
      <c r="V88" s="14"/>
      <c r="W88" s="52">
        <f>IF(O88="N/A",0,D88)</f>
        <v>3</v>
      </c>
    </row>
    <row r="89" spans="3:23" x14ac:dyDescent="0.3">
      <c r="C89" s="103"/>
      <c r="D89" s="103"/>
      <c r="E89" s="103"/>
      <c r="F89" s="103"/>
      <c r="G89" s="103"/>
      <c r="H89" s="103"/>
      <c r="I89" s="103"/>
      <c r="J89" s="103"/>
      <c r="K89" s="103"/>
      <c r="L89" s="103"/>
      <c r="M89" s="103"/>
      <c r="N89" s="53"/>
      <c r="O89" s="11"/>
      <c r="P89" s="11"/>
      <c r="Q89" s="11"/>
      <c r="R89" s="38" t="str">
        <f>IF(SUM(R86:R88)=0,"-",IFERROR(SUM(R86:R88),""))</f>
        <v>-</v>
      </c>
      <c r="S89" s="6"/>
      <c r="T89" s="14"/>
      <c r="U89" s="14"/>
      <c r="V89" s="14"/>
      <c r="W89" s="14"/>
    </row>
    <row r="90" spans="3:23" x14ac:dyDescent="0.3">
      <c r="C90" s="103"/>
      <c r="D90" s="103"/>
      <c r="E90" s="103"/>
      <c r="F90" s="103"/>
      <c r="G90" s="103"/>
      <c r="H90" s="103"/>
      <c r="I90" s="103"/>
      <c r="J90" s="103"/>
      <c r="K90" s="103"/>
      <c r="L90" s="103"/>
      <c r="M90" s="103"/>
      <c r="N90" s="53"/>
      <c r="O90" s="54" t="str">
        <f>IF(O86="N/A",IF(O87="N/A",IF(O88="N/A","N/A","-"),"-"),"-")</f>
        <v>-</v>
      </c>
      <c r="P90" s="58" t="str">
        <f>IF(O90="N/A","N/A",$R90)</f>
        <v>-</v>
      </c>
      <c r="Q90" s="54"/>
      <c r="R90" s="38" t="str">
        <f>IF(R89="-","-",IFERROR(($P86*W86+$P87*W87+$P88*W88)/(SUM(W86:W88)),""))</f>
        <v>-</v>
      </c>
      <c r="S90" s="6"/>
      <c r="T90" s="14"/>
      <c r="U90" s="14"/>
      <c r="V90" s="14"/>
      <c r="W90" s="14"/>
    </row>
    <row r="91" spans="3:23" ht="3.75" customHeight="1" x14ac:dyDescent="0.3">
      <c r="C91" s="11"/>
      <c r="D91" s="11"/>
      <c r="E91" s="11"/>
      <c r="F91" s="10"/>
      <c r="G91" s="11"/>
      <c r="H91" s="11"/>
      <c r="I91" s="6"/>
      <c r="J91" s="11"/>
      <c r="K91" s="6"/>
      <c r="L91" s="6"/>
      <c r="M91" s="6"/>
      <c r="N91" s="11"/>
      <c r="O91" s="11"/>
      <c r="P91" s="11"/>
      <c r="Q91" s="11"/>
      <c r="R91" s="11"/>
      <c r="S91" s="6"/>
    </row>
    <row r="92" spans="3:23" ht="13.5" customHeight="1" x14ac:dyDescent="0.3">
      <c r="C92" s="5" t="s">
        <v>33</v>
      </c>
      <c r="D92" s="5" t="s">
        <v>34</v>
      </c>
      <c r="E92" s="5" t="s">
        <v>35</v>
      </c>
      <c r="F92" s="5" t="s">
        <v>112</v>
      </c>
      <c r="G92" s="5" t="s">
        <v>37</v>
      </c>
      <c r="H92" s="5" t="s">
        <v>38</v>
      </c>
      <c r="I92" s="80" t="s">
        <v>39</v>
      </c>
      <c r="J92" s="1"/>
      <c r="K92" s="111" t="s">
        <v>40</v>
      </c>
      <c r="L92" s="112"/>
      <c r="M92" s="113"/>
      <c r="N92" s="65"/>
      <c r="O92" s="104" t="s">
        <v>41</v>
      </c>
      <c r="P92" s="104"/>
      <c r="Q92" s="104"/>
      <c r="R92" s="11"/>
      <c r="S92" s="6"/>
    </row>
    <row r="93" spans="3:23" ht="3" customHeight="1" x14ac:dyDescent="0.3">
      <c r="C93" s="1"/>
      <c r="D93" s="14"/>
      <c r="E93" s="1"/>
      <c r="F93" s="33"/>
      <c r="G93" s="1"/>
      <c r="H93" s="1"/>
      <c r="J93" s="1"/>
      <c r="K93" s="12"/>
      <c r="L93" s="12"/>
      <c r="M93" s="12"/>
      <c r="N93" s="68"/>
      <c r="O93" s="68"/>
      <c r="P93" s="68"/>
      <c r="Q93" s="68"/>
      <c r="R93" s="1"/>
      <c r="S93" s="1"/>
    </row>
    <row r="94" spans="3:23" ht="14.25" customHeight="1" x14ac:dyDescent="0.3">
      <c r="C94" s="11"/>
      <c r="D94" s="4">
        <v>3</v>
      </c>
      <c r="E94" s="11"/>
      <c r="F94" s="10"/>
      <c r="G94" s="11"/>
      <c r="H94" s="11"/>
      <c r="I94" s="86" t="s">
        <v>258</v>
      </c>
      <c r="J94" s="6"/>
      <c r="K94" s="80" t="s">
        <v>43</v>
      </c>
      <c r="L94" s="80" t="s">
        <v>44</v>
      </c>
      <c r="M94" s="80" t="s">
        <v>45</v>
      </c>
      <c r="N94" s="65"/>
      <c r="O94" s="66" t="s">
        <v>46</v>
      </c>
      <c r="P94" s="66" t="s">
        <v>47</v>
      </c>
      <c r="Q94" s="66" t="s">
        <v>48</v>
      </c>
      <c r="R94" s="5" t="s">
        <v>49</v>
      </c>
      <c r="S94" s="6"/>
    </row>
    <row r="95" spans="3:23" ht="3.75" customHeight="1" x14ac:dyDescent="0.3">
      <c r="C95" s="11"/>
      <c r="D95" s="11"/>
      <c r="E95" s="11"/>
      <c r="F95" s="10"/>
      <c r="G95" s="11"/>
      <c r="H95" s="11"/>
      <c r="I95" s="6"/>
      <c r="J95" s="11"/>
      <c r="K95" s="6"/>
      <c r="L95" s="6"/>
      <c r="M95" s="6"/>
      <c r="N95" s="63"/>
      <c r="O95" s="63"/>
      <c r="P95" s="63"/>
      <c r="Q95" s="63"/>
      <c r="R95" s="11"/>
      <c r="S95" s="6"/>
    </row>
    <row r="96" spans="3:23" ht="14.25" customHeight="1" x14ac:dyDescent="0.3">
      <c r="C96" s="11"/>
      <c r="D96" s="4">
        <v>5</v>
      </c>
      <c r="E96" s="1"/>
      <c r="F96" s="33"/>
      <c r="G96" s="1"/>
      <c r="H96" s="1"/>
      <c r="I96" s="82" t="s">
        <v>259</v>
      </c>
      <c r="J96" s="12"/>
      <c r="K96" s="6"/>
      <c r="L96" s="6"/>
      <c r="M96" s="6"/>
      <c r="N96" s="65"/>
      <c r="O96" s="61"/>
      <c r="P96" s="61"/>
      <c r="Q96" s="61"/>
      <c r="R96" s="12"/>
      <c r="S96" s="12"/>
      <c r="T96" s="14"/>
      <c r="U96" s="14"/>
      <c r="V96" s="14"/>
      <c r="W96" s="5" t="s">
        <v>49</v>
      </c>
    </row>
    <row r="97" spans="3:23" ht="24" x14ac:dyDescent="0.3">
      <c r="C97" s="4" t="s">
        <v>260</v>
      </c>
      <c r="D97" s="4">
        <v>4</v>
      </c>
      <c r="E97" s="4" t="s">
        <v>52</v>
      </c>
      <c r="F97" s="77" t="s">
        <v>62</v>
      </c>
      <c r="G97" s="4" t="s">
        <v>169</v>
      </c>
      <c r="H97" s="4" t="s">
        <v>261</v>
      </c>
      <c r="I97" s="83" t="s">
        <v>262</v>
      </c>
      <c r="J97" s="12"/>
      <c r="K97" s="88" t="s">
        <v>263</v>
      </c>
      <c r="L97" s="89"/>
      <c r="M97" s="89"/>
      <c r="N97" s="71"/>
      <c r="O97" s="91"/>
      <c r="P97" s="92"/>
      <c r="Q97" s="60" t="str">
        <f>IF($O97="N/A","",IF($P97="","",IF($P97&gt;=85%,"C","NC")))</f>
        <v/>
      </c>
      <c r="R97" s="8" t="str">
        <f>IF($O97="N/A","",IF($P97="","",$P97*$W97))</f>
        <v/>
      </c>
      <c r="S97" s="6"/>
      <c r="T97" s="14"/>
      <c r="U97" s="14"/>
      <c r="V97" s="14"/>
      <c r="W97" s="52">
        <f>IF(O97="N/A",0,D97)</f>
        <v>4</v>
      </c>
    </row>
    <row r="98" spans="3:23" ht="14.5" x14ac:dyDescent="0.3">
      <c r="C98" s="4" t="s">
        <v>264</v>
      </c>
      <c r="D98" s="87">
        <v>4</v>
      </c>
      <c r="E98" s="4" t="s">
        <v>52</v>
      </c>
      <c r="F98" s="77" t="s">
        <v>265</v>
      </c>
      <c r="G98" s="4" t="s">
        <v>169</v>
      </c>
      <c r="H98" s="4" t="s">
        <v>266</v>
      </c>
      <c r="I98" s="83" t="s">
        <v>267</v>
      </c>
      <c r="J98" s="12"/>
      <c r="K98" s="88" t="s">
        <v>268</v>
      </c>
      <c r="L98" s="89"/>
      <c r="M98" s="89"/>
      <c r="N98" s="71"/>
      <c r="O98" s="91"/>
      <c r="P98" s="92"/>
      <c r="Q98" s="60" t="str">
        <f>IF($O98="N/A","",IF($P98="","",IF($P98&gt;=85%,"C","NC")))</f>
        <v/>
      </c>
      <c r="R98" s="8" t="str">
        <f>IF($O98="N/A","",IF($P98="","",$P98*$W98))</f>
        <v/>
      </c>
      <c r="S98" s="6"/>
      <c r="T98" s="14"/>
      <c r="U98" s="14"/>
      <c r="V98" s="14"/>
      <c r="W98" s="52">
        <f>IF(O98="N/A",0,D98)</f>
        <v>4</v>
      </c>
    </row>
    <row r="99" spans="3:23" ht="24" x14ac:dyDescent="0.3">
      <c r="C99" s="4" t="s">
        <v>269</v>
      </c>
      <c r="D99" s="87">
        <v>4</v>
      </c>
      <c r="E99" s="4" t="s">
        <v>52</v>
      </c>
      <c r="F99" s="77" t="s">
        <v>53</v>
      </c>
      <c r="G99" s="4" t="s">
        <v>169</v>
      </c>
      <c r="H99" s="4" t="s">
        <v>270</v>
      </c>
      <c r="I99" s="83" t="s">
        <v>271</v>
      </c>
      <c r="J99" s="12"/>
      <c r="K99" s="88" t="s">
        <v>263</v>
      </c>
      <c r="L99" s="89"/>
      <c r="M99" s="89"/>
      <c r="N99" s="71"/>
      <c r="O99" s="91"/>
      <c r="P99" s="92"/>
      <c r="Q99" s="60" t="str">
        <f>IF($O99="N/A","",IF($P99="","",IF($P99&gt;=85%,"C","NC")))</f>
        <v/>
      </c>
      <c r="R99" s="8" t="str">
        <f>IF($O99="N/A","",IF($P99="","",$P99*$W99))</f>
        <v/>
      </c>
      <c r="S99" s="6"/>
      <c r="T99" s="14"/>
      <c r="U99" s="14"/>
      <c r="V99" s="14"/>
      <c r="W99" s="52">
        <f>IF(O99="N/A",0,D99)</f>
        <v>4</v>
      </c>
    </row>
    <row r="100" spans="3:23" ht="24" x14ac:dyDescent="0.3">
      <c r="C100" s="4" t="s">
        <v>272</v>
      </c>
      <c r="D100" s="4">
        <v>4</v>
      </c>
      <c r="E100" s="4" t="s">
        <v>167</v>
      </c>
      <c r="F100" s="77" t="s">
        <v>265</v>
      </c>
      <c r="G100" s="4" t="s">
        <v>169</v>
      </c>
      <c r="H100" s="4" t="s">
        <v>273</v>
      </c>
      <c r="I100" s="83" t="s">
        <v>274</v>
      </c>
      <c r="J100" s="12"/>
      <c r="K100" s="88" t="s">
        <v>275</v>
      </c>
      <c r="L100" s="89" t="s">
        <v>276</v>
      </c>
      <c r="M100" s="89"/>
      <c r="N100" s="71"/>
      <c r="O100" s="91"/>
      <c r="P100" s="92"/>
      <c r="Q100" s="60" t="str">
        <f>IF($O100="N/A","",IF($P100="","",IF($P100&gt;=85%,"C","NC")))</f>
        <v/>
      </c>
      <c r="R100" s="8" t="str">
        <f>IF($O100="N/A","",IF($P100="","",$P100*$W100))</f>
        <v/>
      </c>
      <c r="S100" s="6"/>
      <c r="T100" s="14"/>
      <c r="U100" s="14"/>
      <c r="V100" s="14"/>
      <c r="W100" s="52">
        <f>IF(O100="N/A",0,D100)</f>
        <v>4</v>
      </c>
    </row>
    <row r="101" spans="3:23" ht="24" x14ac:dyDescent="0.3">
      <c r="C101" s="4" t="s">
        <v>277</v>
      </c>
      <c r="D101" s="4">
        <v>4</v>
      </c>
      <c r="E101" s="4" t="s">
        <v>167</v>
      </c>
      <c r="F101" s="77" t="s">
        <v>265</v>
      </c>
      <c r="G101" s="4" t="s">
        <v>169</v>
      </c>
      <c r="H101" s="4" t="s">
        <v>278</v>
      </c>
      <c r="I101" s="83" t="s">
        <v>279</v>
      </c>
      <c r="J101" s="12"/>
      <c r="K101" s="88" t="s">
        <v>280</v>
      </c>
      <c r="L101" s="89" t="s">
        <v>276</v>
      </c>
      <c r="M101" s="89"/>
      <c r="N101" s="71"/>
      <c r="O101" s="91"/>
      <c r="P101" s="92"/>
      <c r="Q101" s="60" t="str">
        <f>IF($O101="N/A","",IF($P101="","",IF($P101&gt;=85%,"C","NC")))</f>
        <v/>
      </c>
      <c r="R101" s="8" t="str">
        <f>IF($O101="N/A","",IF($P101="","",$P101*$W101))</f>
        <v/>
      </c>
      <c r="S101" s="6"/>
      <c r="T101" s="14"/>
      <c r="U101" s="14"/>
      <c r="V101" s="14"/>
      <c r="W101" s="52">
        <f>IF(O101="N/A",0,D101)</f>
        <v>4</v>
      </c>
    </row>
    <row r="102" spans="3:23" x14ac:dyDescent="0.3">
      <c r="C102" s="103"/>
      <c r="D102" s="103"/>
      <c r="E102" s="103"/>
      <c r="F102" s="103"/>
      <c r="G102" s="103"/>
      <c r="H102" s="103"/>
      <c r="I102" s="103"/>
      <c r="J102" s="103"/>
      <c r="K102" s="103"/>
      <c r="L102" s="103"/>
      <c r="M102" s="103"/>
      <c r="N102" s="53"/>
      <c r="O102" s="11"/>
      <c r="P102" s="11"/>
      <c r="Q102" s="11"/>
      <c r="R102" s="38" t="str">
        <f>IF(SUM(R97:R101)=0,"-",IFERROR(SUM(R97:R101),""))</f>
        <v>-</v>
      </c>
      <c r="S102" s="6"/>
      <c r="T102" s="14"/>
      <c r="U102" s="14"/>
      <c r="V102" s="14"/>
      <c r="W102" s="14"/>
    </row>
    <row r="103" spans="3:23" x14ac:dyDescent="0.3">
      <c r="C103" s="103"/>
      <c r="D103" s="103"/>
      <c r="E103" s="103"/>
      <c r="F103" s="103"/>
      <c r="G103" s="103"/>
      <c r="H103" s="103"/>
      <c r="I103" s="103"/>
      <c r="J103" s="103"/>
      <c r="K103" s="103"/>
      <c r="L103" s="103"/>
      <c r="M103" s="103"/>
      <c r="N103" s="53"/>
      <c r="O103" s="54" t="str">
        <f>IF(O97="N/A",IF(O98="N/A",IF(O99="N/A",IF(O100="N/A",IF(O101="N/A","N/A","-"),"-"),"-"),"-"),"-")</f>
        <v>-</v>
      </c>
      <c r="P103" s="58" t="str">
        <f>IF(O103="N/A","N/A",$R103)</f>
        <v>-</v>
      </c>
      <c r="Q103" s="54"/>
      <c r="R103" s="38" t="str">
        <f>IF(R102="-","-",IFERROR(($P97*W97+$P98*W98+$P99*W99+$P100*W100+$P101*W101)/(SUM(W97:W101)),""))</f>
        <v>-</v>
      </c>
      <c r="S103" s="6"/>
      <c r="T103" s="14"/>
      <c r="U103" s="14"/>
      <c r="V103" s="14"/>
      <c r="W103" s="14"/>
    </row>
    <row r="104" spans="3:23" ht="3.75" customHeight="1" x14ac:dyDescent="0.3">
      <c r="C104" s="11"/>
      <c r="D104" s="11"/>
      <c r="E104" s="11"/>
      <c r="F104" s="10"/>
      <c r="G104" s="11"/>
      <c r="H104" s="11"/>
      <c r="I104" s="6"/>
      <c r="J104" s="11"/>
      <c r="K104" s="6"/>
      <c r="L104" s="6"/>
      <c r="M104" s="6"/>
      <c r="N104" s="11"/>
      <c r="O104" s="11"/>
      <c r="P104" s="11"/>
      <c r="Q104" s="11"/>
      <c r="R104" s="11"/>
      <c r="S104" s="6"/>
    </row>
    <row r="105" spans="3:23" ht="14.25" customHeight="1" x14ac:dyDescent="0.3">
      <c r="C105" s="1"/>
      <c r="D105" s="4">
        <v>2</v>
      </c>
      <c r="E105" s="1"/>
      <c r="F105" s="33"/>
      <c r="G105" s="1"/>
      <c r="H105" s="1"/>
      <c r="I105" s="82" t="s">
        <v>281</v>
      </c>
      <c r="J105" s="12"/>
      <c r="K105" s="6"/>
      <c r="L105" s="6"/>
      <c r="M105" s="6"/>
      <c r="N105" s="6"/>
      <c r="O105" s="6"/>
      <c r="P105" s="6"/>
      <c r="Q105" s="6"/>
      <c r="R105" s="13"/>
      <c r="S105" s="6"/>
      <c r="W105" s="5" t="s">
        <v>49</v>
      </c>
    </row>
    <row r="106" spans="3:23" ht="24" x14ac:dyDescent="0.3">
      <c r="C106" s="77" t="s">
        <v>282</v>
      </c>
      <c r="D106" s="77">
        <v>1</v>
      </c>
      <c r="E106" s="77" t="s">
        <v>52</v>
      </c>
      <c r="F106" s="77" t="s">
        <v>62</v>
      </c>
      <c r="G106" s="77" t="s">
        <v>71</v>
      </c>
      <c r="H106" s="77" t="s">
        <v>261</v>
      </c>
      <c r="I106" s="78" t="s">
        <v>283</v>
      </c>
      <c r="J106" s="49"/>
      <c r="K106" s="90" t="s">
        <v>263</v>
      </c>
      <c r="L106" s="89"/>
      <c r="M106" s="89"/>
      <c r="N106" s="59"/>
      <c r="O106" s="93"/>
      <c r="P106" s="94"/>
      <c r="Q106" s="4" t="str">
        <f t="shared" ref="Q106:Q116" si="9">IF($O106="N/A","",IF($P106="","",IF($P106&gt;=85%,"C","NC")))</f>
        <v/>
      </c>
      <c r="R106" s="8" t="str">
        <f t="shared" ref="R106:R116" si="10">IF($O106="N/A","",IF($P106="","",$P106*$W106))</f>
        <v/>
      </c>
      <c r="S106" s="6"/>
      <c r="T106" s="14"/>
      <c r="U106" s="14"/>
      <c r="V106" s="14"/>
      <c r="W106" s="52">
        <f t="shared" ref="W106:W116" si="11">IF(O106="N/A",0,D106)</f>
        <v>1</v>
      </c>
    </row>
    <row r="107" spans="3:23" ht="24" x14ac:dyDescent="0.3">
      <c r="C107" s="77" t="s">
        <v>284</v>
      </c>
      <c r="D107" s="77">
        <v>1</v>
      </c>
      <c r="E107" s="77" t="s">
        <v>52</v>
      </c>
      <c r="F107" s="77" t="s">
        <v>62</v>
      </c>
      <c r="G107" s="77" t="s">
        <v>76</v>
      </c>
      <c r="H107" s="77" t="s">
        <v>261</v>
      </c>
      <c r="I107" s="78" t="s">
        <v>285</v>
      </c>
      <c r="J107" s="49"/>
      <c r="K107" s="90" t="s">
        <v>263</v>
      </c>
      <c r="L107" s="89"/>
      <c r="M107" s="89"/>
      <c r="N107" s="59"/>
      <c r="O107" s="93"/>
      <c r="P107" s="94"/>
      <c r="Q107" s="4" t="str">
        <f t="shared" si="9"/>
        <v/>
      </c>
      <c r="R107" s="8" t="str">
        <f t="shared" si="10"/>
        <v/>
      </c>
      <c r="S107" s="6"/>
      <c r="T107" s="14"/>
      <c r="U107" s="14"/>
      <c r="V107" s="14"/>
      <c r="W107" s="52">
        <f t="shared" si="11"/>
        <v>1</v>
      </c>
    </row>
    <row r="108" spans="3:23" ht="24" x14ac:dyDescent="0.3">
      <c r="C108" s="77" t="s">
        <v>286</v>
      </c>
      <c r="D108" s="77">
        <v>1</v>
      </c>
      <c r="E108" s="77" t="s">
        <v>52</v>
      </c>
      <c r="F108" s="77" t="s">
        <v>62</v>
      </c>
      <c r="G108" s="77" t="s">
        <v>81</v>
      </c>
      <c r="H108" s="77" t="s">
        <v>261</v>
      </c>
      <c r="I108" s="78" t="s">
        <v>287</v>
      </c>
      <c r="J108" s="49"/>
      <c r="K108" s="90" t="s">
        <v>263</v>
      </c>
      <c r="L108" s="89"/>
      <c r="M108" s="89"/>
      <c r="N108" s="59"/>
      <c r="O108" s="93"/>
      <c r="P108" s="94"/>
      <c r="Q108" s="4" t="str">
        <f t="shared" si="9"/>
        <v/>
      </c>
      <c r="R108" s="8" t="str">
        <f t="shared" si="10"/>
        <v/>
      </c>
      <c r="S108" s="6"/>
      <c r="T108" s="14"/>
      <c r="U108" s="14"/>
      <c r="V108" s="14"/>
      <c r="W108" s="52">
        <f t="shared" si="11"/>
        <v>1</v>
      </c>
    </row>
    <row r="109" spans="3:23" ht="24" x14ac:dyDescent="0.3">
      <c r="C109" s="77" t="s">
        <v>288</v>
      </c>
      <c r="D109" s="77">
        <v>1</v>
      </c>
      <c r="E109" s="77" t="s">
        <v>52</v>
      </c>
      <c r="F109" s="77" t="s">
        <v>62</v>
      </c>
      <c r="G109" s="77" t="s">
        <v>91</v>
      </c>
      <c r="H109" s="77" t="s">
        <v>261</v>
      </c>
      <c r="I109" s="78" t="s">
        <v>289</v>
      </c>
      <c r="J109" s="49"/>
      <c r="K109" s="90" t="s">
        <v>263</v>
      </c>
      <c r="L109" s="89"/>
      <c r="M109" s="89"/>
      <c r="N109" s="59"/>
      <c r="O109" s="93"/>
      <c r="P109" s="94"/>
      <c r="Q109" s="4" t="str">
        <f t="shared" si="9"/>
        <v/>
      </c>
      <c r="R109" s="8" t="str">
        <f t="shared" si="10"/>
        <v/>
      </c>
      <c r="S109" s="6"/>
      <c r="T109" s="14"/>
      <c r="U109" s="14"/>
      <c r="V109" s="14"/>
      <c r="W109" s="52">
        <f t="shared" si="11"/>
        <v>1</v>
      </c>
    </row>
    <row r="110" spans="3:23" ht="36" x14ac:dyDescent="0.3">
      <c r="C110" s="77" t="s">
        <v>290</v>
      </c>
      <c r="D110" s="77">
        <v>1</v>
      </c>
      <c r="E110" s="77" t="s">
        <v>52</v>
      </c>
      <c r="F110" s="77" t="s">
        <v>107</v>
      </c>
      <c r="G110" s="77" t="s">
        <v>91</v>
      </c>
      <c r="H110" s="77" t="s">
        <v>291</v>
      </c>
      <c r="I110" s="78" t="s">
        <v>292</v>
      </c>
      <c r="J110" s="49"/>
      <c r="K110" s="90" t="s">
        <v>293</v>
      </c>
      <c r="L110" s="89"/>
      <c r="M110" s="89"/>
      <c r="N110" s="59"/>
      <c r="O110" s="93"/>
      <c r="P110" s="94"/>
      <c r="Q110" s="4" t="str">
        <f t="shared" si="9"/>
        <v/>
      </c>
      <c r="R110" s="8" t="str">
        <f t="shared" si="10"/>
        <v/>
      </c>
      <c r="S110" s="6"/>
      <c r="T110" s="14"/>
      <c r="U110" s="14"/>
      <c r="V110" s="14"/>
      <c r="W110" s="52">
        <f t="shared" si="11"/>
        <v>1</v>
      </c>
    </row>
    <row r="111" spans="3:23" ht="24" x14ac:dyDescent="0.3">
      <c r="C111" s="77" t="s">
        <v>294</v>
      </c>
      <c r="D111" s="77">
        <v>1</v>
      </c>
      <c r="E111" s="77" t="s">
        <v>167</v>
      </c>
      <c r="F111" s="77" t="s">
        <v>62</v>
      </c>
      <c r="G111" s="77" t="s">
        <v>91</v>
      </c>
      <c r="H111" s="95" t="s">
        <v>295</v>
      </c>
      <c r="I111" s="78" t="s">
        <v>296</v>
      </c>
      <c r="J111" s="49"/>
      <c r="K111" s="90" t="s">
        <v>297</v>
      </c>
      <c r="L111" s="89"/>
      <c r="M111" s="89"/>
      <c r="N111" s="59"/>
      <c r="O111" s="93"/>
      <c r="P111" s="94"/>
      <c r="Q111" s="4" t="str">
        <f t="shared" si="9"/>
        <v/>
      </c>
      <c r="R111" s="8" t="str">
        <f t="shared" si="10"/>
        <v/>
      </c>
      <c r="S111" s="6"/>
      <c r="T111" s="14"/>
      <c r="U111" s="14"/>
      <c r="V111" s="14"/>
      <c r="W111" s="52">
        <f t="shared" ref="W111" si="12">IF(O111="N/A",0,D111)</f>
        <v>1</v>
      </c>
    </row>
    <row r="112" spans="3:23" ht="24" x14ac:dyDescent="0.3">
      <c r="C112" s="77" t="s">
        <v>298</v>
      </c>
      <c r="D112" s="77">
        <v>1</v>
      </c>
      <c r="E112" s="77" t="s">
        <v>52</v>
      </c>
      <c r="F112" s="77" t="s">
        <v>62</v>
      </c>
      <c r="G112" s="77" t="s">
        <v>169</v>
      </c>
      <c r="H112" s="77" t="s">
        <v>261</v>
      </c>
      <c r="I112" s="78" t="s">
        <v>299</v>
      </c>
      <c r="J112" s="49"/>
      <c r="K112" s="90" t="s">
        <v>263</v>
      </c>
      <c r="L112" s="89"/>
      <c r="M112" s="89"/>
      <c r="N112" s="59"/>
      <c r="O112" s="93"/>
      <c r="P112" s="94"/>
      <c r="Q112" s="4" t="str">
        <f t="shared" si="9"/>
        <v/>
      </c>
      <c r="R112" s="8" t="str">
        <f t="shared" si="10"/>
        <v/>
      </c>
      <c r="S112" s="6"/>
      <c r="T112" s="14"/>
      <c r="U112" s="14"/>
      <c r="V112" s="14"/>
      <c r="W112" s="52">
        <f t="shared" si="11"/>
        <v>1</v>
      </c>
    </row>
    <row r="113" spans="3:23" ht="24" x14ac:dyDescent="0.3">
      <c r="C113" s="77" t="s">
        <v>300</v>
      </c>
      <c r="D113" s="77">
        <v>1</v>
      </c>
      <c r="E113" s="77" t="s">
        <v>52</v>
      </c>
      <c r="F113" s="77" t="s">
        <v>62</v>
      </c>
      <c r="G113" s="77" t="s">
        <v>102</v>
      </c>
      <c r="H113" s="77" t="s">
        <v>261</v>
      </c>
      <c r="I113" s="78" t="s">
        <v>301</v>
      </c>
      <c r="J113" s="49"/>
      <c r="K113" s="90" t="s">
        <v>263</v>
      </c>
      <c r="L113" s="89"/>
      <c r="M113" s="89"/>
      <c r="N113" s="59"/>
      <c r="O113" s="93"/>
      <c r="P113" s="94"/>
      <c r="Q113" s="4" t="str">
        <f t="shared" si="9"/>
        <v/>
      </c>
      <c r="R113" s="8" t="str">
        <f t="shared" si="10"/>
        <v/>
      </c>
      <c r="S113" s="6"/>
      <c r="T113" s="14"/>
      <c r="U113" s="14"/>
      <c r="V113" s="14"/>
      <c r="W113" s="52">
        <f t="shared" si="11"/>
        <v>1</v>
      </c>
    </row>
    <row r="114" spans="3:23" ht="36" x14ac:dyDescent="0.3">
      <c r="C114" s="77" t="s">
        <v>302</v>
      </c>
      <c r="D114" s="77">
        <v>1</v>
      </c>
      <c r="E114" s="77" t="s">
        <v>52</v>
      </c>
      <c r="F114" s="77" t="s">
        <v>107</v>
      </c>
      <c r="G114" s="77" t="s">
        <v>102</v>
      </c>
      <c r="H114" s="77" t="s">
        <v>303</v>
      </c>
      <c r="I114" s="78" t="s">
        <v>304</v>
      </c>
      <c r="J114" s="49"/>
      <c r="K114" s="90" t="s">
        <v>293</v>
      </c>
      <c r="L114" s="89"/>
      <c r="M114" s="89"/>
      <c r="N114" s="59"/>
      <c r="O114" s="93"/>
      <c r="P114" s="94"/>
      <c r="Q114" s="4" t="str">
        <f t="shared" si="9"/>
        <v/>
      </c>
      <c r="R114" s="8" t="str">
        <f t="shared" si="10"/>
        <v/>
      </c>
      <c r="S114" s="6"/>
      <c r="T114" s="14"/>
      <c r="U114" s="14"/>
      <c r="V114" s="14"/>
      <c r="W114" s="52">
        <f t="shared" si="11"/>
        <v>1</v>
      </c>
    </row>
    <row r="115" spans="3:23" ht="24" x14ac:dyDescent="0.3">
      <c r="C115" s="77" t="s">
        <v>305</v>
      </c>
      <c r="D115" s="77">
        <v>1</v>
      </c>
      <c r="E115" s="77" t="s">
        <v>52</v>
      </c>
      <c r="F115" s="77" t="s">
        <v>62</v>
      </c>
      <c r="G115" s="77" t="s">
        <v>169</v>
      </c>
      <c r="H115" s="77" t="s">
        <v>306</v>
      </c>
      <c r="I115" s="78" t="s">
        <v>307</v>
      </c>
      <c r="J115" s="49"/>
      <c r="K115" s="90" t="s">
        <v>308</v>
      </c>
      <c r="L115" s="89"/>
      <c r="M115" s="89"/>
      <c r="N115" s="59"/>
      <c r="O115" s="93"/>
      <c r="P115" s="94"/>
      <c r="Q115" s="4" t="str">
        <f t="shared" si="9"/>
        <v/>
      </c>
      <c r="R115" s="8" t="str">
        <f t="shared" si="10"/>
        <v/>
      </c>
      <c r="S115" s="6"/>
      <c r="T115" s="14"/>
      <c r="U115" s="14"/>
      <c r="V115" s="14"/>
      <c r="W115" s="52">
        <f t="shared" si="11"/>
        <v>1</v>
      </c>
    </row>
    <row r="116" spans="3:23" ht="24" x14ac:dyDescent="0.3">
      <c r="C116" s="77" t="s">
        <v>309</v>
      </c>
      <c r="D116" s="77">
        <v>1</v>
      </c>
      <c r="E116" s="77" t="s">
        <v>52</v>
      </c>
      <c r="F116" s="77" t="s">
        <v>62</v>
      </c>
      <c r="G116" s="77" t="s">
        <v>102</v>
      </c>
      <c r="H116" s="77" t="s">
        <v>261</v>
      </c>
      <c r="I116" s="78" t="s">
        <v>310</v>
      </c>
      <c r="J116" s="49"/>
      <c r="K116" s="90" t="s">
        <v>263</v>
      </c>
      <c r="L116" s="89"/>
      <c r="M116" s="89"/>
      <c r="N116" s="59"/>
      <c r="O116" s="93"/>
      <c r="P116" s="94"/>
      <c r="Q116" s="4" t="str">
        <f t="shared" si="9"/>
        <v/>
      </c>
      <c r="R116" s="8" t="str">
        <f t="shared" si="10"/>
        <v/>
      </c>
      <c r="S116" s="6"/>
      <c r="T116" s="14"/>
      <c r="U116" s="14"/>
      <c r="V116" s="14"/>
      <c r="W116" s="52">
        <f t="shared" si="11"/>
        <v>1</v>
      </c>
    </row>
    <row r="117" spans="3:23" x14ac:dyDescent="0.3">
      <c r="C117" s="103"/>
      <c r="D117" s="103"/>
      <c r="E117" s="103"/>
      <c r="F117" s="103"/>
      <c r="G117" s="103"/>
      <c r="H117" s="103"/>
      <c r="I117" s="103"/>
      <c r="J117" s="103"/>
      <c r="K117" s="103"/>
      <c r="L117" s="103"/>
      <c r="M117" s="103"/>
      <c r="N117" s="53"/>
      <c r="O117" s="11"/>
      <c r="P117" s="11"/>
      <c r="Q117" s="11"/>
      <c r="R117" s="38" t="str">
        <f>IF(SUM(R106:R116)=0,"-",IFERROR(SUM(R106:R116),""))</f>
        <v>-</v>
      </c>
      <c r="S117" s="6"/>
      <c r="T117" s="14"/>
      <c r="U117" s="14"/>
      <c r="V117" s="14"/>
      <c r="W117" s="14"/>
    </row>
    <row r="118" spans="3:23" x14ac:dyDescent="0.3">
      <c r="C118" s="103"/>
      <c r="D118" s="103"/>
      <c r="E118" s="103"/>
      <c r="F118" s="103"/>
      <c r="G118" s="103"/>
      <c r="H118" s="103"/>
      <c r="I118" s="103"/>
      <c r="J118" s="103"/>
      <c r="K118" s="103"/>
      <c r="L118" s="103"/>
      <c r="M118" s="103"/>
      <c r="N118" s="53"/>
      <c r="O118" s="54" t="str">
        <f>IF(O106="N/A",IF(O107="N/A",IF(O108="N/A",IF(O109="N/A",IF(O110="N/A",IF(O111="N/A",IF(O112="N/A",IF(O113="N/A",IF(O114="N/A",IF(O115="N/A",IF(O116="N/A","N/A","-"),"-"),"-"),"-"),"-"),"-"),"-"),"-"),"-"),"-"),"-")</f>
        <v>-</v>
      </c>
      <c r="P118" s="58" t="str">
        <f>IF(O118="N/A","N/A",$R118)</f>
        <v>-</v>
      </c>
      <c r="Q118" s="54"/>
      <c r="R118" s="38" t="str">
        <f>IF(R117="-","-",IFERROR(($P106*W106+$P107*W107+$P108*W108+$P109*W109+$P110*W110+$P111*W111+$P112*W112+$P113*W113+$P114*W114+$P115*W115+$P116*W116)/(SUM(W106:W116)),""))</f>
        <v>-</v>
      </c>
      <c r="S118" s="6"/>
      <c r="T118" s="14"/>
      <c r="U118" s="14"/>
      <c r="V118" s="14"/>
      <c r="W118" s="14"/>
    </row>
    <row r="119" spans="3:23" ht="4.5" customHeight="1" x14ac:dyDescent="0.3">
      <c r="C119" s="1"/>
      <c r="D119" s="14"/>
      <c r="E119" s="1"/>
      <c r="F119" s="33"/>
      <c r="G119" s="1"/>
      <c r="H119" s="1"/>
      <c r="J119" s="1"/>
      <c r="N119" s="1"/>
      <c r="O119" s="1"/>
      <c r="P119" s="1"/>
      <c r="Q119" s="1"/>
      <c r="R119" s="1"/>
      <c r="S119" s="1"/>
    </row>
    <row r="120" spans="3:23" ht="6.75" customHeight="1" x14ac:dyDescent="0.3">
      <c r="C120" s="1"/>
      <c r="D120" s="14"/>
      <c r="E120" s="1"/>
      <c r="F120" s="33"/>
      <c r="G120" s="1"/>
      <c r="H120" s="1"/>
      <c r="J120" s="1"/>
      <c r="N120" s="1"/>
      <c r="O120" s="1"/>
      <c r="P120" s="1"/>
      <c r="Q120" s="1"/>
      <c r="R120" s="1"/>
      <c r="S120" s="1"/>
    </row>
    <row r="121" spans="3:23" x14ac:dyDescent="0.3">
      <c r="H121" s="1"/>
    </row>
    <row r="122" spans="3:23" x14ac:dyDescent="0.3">
      <c r="H122" s="1"/>
    </row>
    <row r="123" spans="3:23" x14ac:dyDescent="0.3">
      <c r="H123" s="1"/>
    </row>
  </sheetData>
  <sheetProtection algorithmName="SHA-512" hashValue="Xq1LAKflcgvJJrZvpxcNX0YjMBLRi0nLlJxuBiiNSkcJ1k0ZZtXYmF2oo0MGOiDdv4TZct5XqiBxyZrYyQ+w/A==" saltValue="mgdbQUD0dzB3CAm6EAng4g==" spinCount="100000" sheet="1" objects="1" scenarios="1" formatRows="0" selectLockedCells="1"/>
  <customSheetViews>
    <customSheetView guid="{D37F1B69-6CE7-4A90-8559-8AE519A5C1EC}" showGridLines="0" hiddenColumns="1">
      <selection activeCell="C102" sqref="C102:S102"/>
      <pageMargins left="0" right="0" top="0" bottom="0" header="0" footer="0"/>
      <printOptions horizontalCentered="1"/>
      <pageSetup paperSize="9" scale="48"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customSheetView>
  </customSheetViews>
  <mergeCells count="36">
    <mergeCell ref="C63:M63"/>
    <mergeCell ref="K31:M31"/>
    <mergeCell ref="O31:Q31"/>
    <mergeCell ref="K92:M92"/>
    <mergeCell ref="O92:Q92"/>
    <mergeCell ref="C40:M40"/>
    <mergeCell ref="C41:M41"/>
    <mergeCell ref="C51:M51"/>
    <mergeCell ref="C52:M52"/>
    <mergeCell ref="C62:M62"/>
    <mergeCell ref="C118:M118"/>
    <mergeCell ref="C102:M102"/>
    <mergeCell ref="C69:M69"/>
    <mergeCell ref="C70:M70"/>
    <mergeCell ref="C82:M82"/>
    <mergeCell ref="C75:M75"/>
    <mergeCell ref="C76:M76"/>
    <mergeCell ref="C117:M117"/>
    <mergeCell ref="C89:M89"/>
    <mergeCell ref="C90:M90"/>
    <mergeCell ref="C83:M83"/>
    <mergeCell ref="C103:M103"/>
    <mergeCell ref="C29:M29"/>
    <mergeCell ref="C28:M28"/>
    <mergeCell ref="O11:Q11"/>
    <mergeCell ref="K11:M11"/>
    <mergeCell ref="C2:F2"/>
    <mergeCell ref="H2:I2"/>
    <mergeCell ref="K2:Q9"/>
    <mergeCell ref="C3:F3"/>
    <mergeCell ref="C4:F4"/>
    <mergeCell ref="C5:F5"/>
    <mergeCell ref="C6:F6"/>
    <mergeCell ref="C9:F9"/>
    <mergeCell ref="C7:F7"/>
    <mergeCell ref="C8:F8"/>
  </mergeCells>
  <phoneticPr fontId="4" type="noConversion"/>
  <printOptions horizontalCentered="1"/>
  <pageMargins left="0.70866141732283472" right="0.70866141732283472" top="0.65625" bottom="0.74803149606299213" header="0.31496062992125984" footer="0.31496062992125984"/>
  <pageSetup paperSize="9" scale="37" orientation="portrait" r:id="rId2"/>
  <headerFooter>
    <oddHeader>&amp;C&amp;"-,Negrito"&amp;12Superintendência de Infraestrutura Aeroportuária - SIA
Gerência de Certificação e Segurança Operacional - GCOP
Gerência Técnica de Infraestrutura e Operações Aeroportuárias - GTOP</oddHeader>
  </headerFooter>
  <rowBreaks count="1" manualBreakCount="1">
    <brk id="71" max="19" man="1"/>
  </rowBreaks>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9FBAE2DC-ED37-4E1F-8CE1-8DD1760D7453}">
          <x14:formula1>
            <xm:f>Listas!$B$2:$B$23</xm:f>
          </x14:formula1>
          <xm:sqref>P86:P88 P97:P101 P55:P61 P66:P68 P73:P74 P79:P81 P44:P50 P16:P27 P36:P39 P106:P116</xm:sqref>
        </x14:dataValidation>
        <x14:dataValidation type="list" allowBlank="1" showInputMessage="1" showErrorMessage="1" xr:uid="{244946EE-D094-488A-A24D-7EF540B769AC}">
          <x14:formula1>
            <xm:f>Listas!$A$2:$A$3</xm:f>
          </x14:formula1>
          <xm:sqref>O86:O88 O97:O101 O55:O61 O66:O68 O73:O74 O79:O81 O44:O50 O16:O27 O36:O39 O106:O116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E0288-E806-4C4A-97E1-486F1508052A}">
  <sheetPr>
    <tabColor theme="4" tint="0.39997558519241921"/>
  </sheetPr>
  <dimension ref="B1:N56"/>
  <sheetViews>
    <sheetView showGridLines="0" zoomScaleNormal="100" workbookViewId="0">
      <selection activeCell="H20" sqref="H20"/>
    </sheetView>
  </sheetViews>
  <sheetFormatPr defaultColWidth="9.1796875" defaultRowHeight="12" x14ac:dyDescent="0.3"/>
  <cols>
    <col min="1" max="1" width="1.453125" style="1" customWidth="1"/>
    <col min="2" max="2" width="4.453125" style="1" customWidth="1"/>
    <col min="3" max="4" width="4.453125" style="1" hidden="1" customWidth="1"/>
    <col min="5" max="5" width="4.453125" style="2" customWidth="1"/>
    <col min="6" max="6" width="4.26953125" style="2" hidden="1" customWidth="1"/>
    <col min="7" max="7" width="54.54296875" style="2" customWidth="1"/>
    <col min="8" max="8" width="17.81640625" style="2" customWidth="1"/>
    <col min="9" max="11" width="4.453125" style="18" customWidth="1"/>
    <col min="12" max="12" width="4.453125" style="1" customWidth="1"/>
    <col min="13" max="13" width="1.453125" style="1" customWidth="1"/>
    <col min="14" max="14" width="7" style="1" hidden="1" customWidth="1"/>
    <col min="15" max="16384" width="9.1796875" style="1"/>
  </cols>
  <sheetData>
    <row r="1" spans="2:14" ht="5.25" customHeight="1" x14ac:dyDescent="0.3"/>
    <row r="2" spans="2:14" ht="16.5" customHeight="1" x14ac:dyDescent="0.3">
      <c r="B2" s="114" t="s">
        <v>311</v>
      </c>
      <c r="C2" s="114"/>
      <c r="D2" s="114"/>
      <c r="E2" s="114"/>
      <c r="F2" s="114"/>
      <c r="G2" s="114"/>
      <c r="H2" s="114"/>
      <c r="I2" s="114"/>
      <c r="J2" s="114"/>
      <c r="K2" s="114"/>
      <c r="L2" s="114"/>
      <c r="M2" s="27"/>
    </row>
    <row r="4" spans="2:14" x14ac:dyDescent="0.3">
      <c r="F4" s="115" t="s">
        <v>34</v>
      </c>
      <c r="G4" s="117" t="s">
        <v>39</v>
      </c>
      <c r="H4" s="19" t="s">
        <v>47</v>
      </c>
      <c r="N4" s="20" t="s">
        <v>34</v>
      </c>
    </row>
    <row r="5" spans="2:14" ht="12" hidden="1" customHeight="1" x14ac:dyDescent="0.3">
      <c r="E5" s="28"/>
      <c r="F5" s="116"/>
      <c r="G5" s="118"/>
      <c r="H5" s="32">
        <v>5</v>
      </c>
      <c r="N5" s="33"/>
    </row>
    <row r="6" spans="2:14" x14ac:dyDescent="0.3">
      <c r="E6" s="1"/>
      <c r="F6" s="21">
        <f>'DOCS MNT'!D13</f>
        <v>1.5</v>
      </c>
      <c r="G6" s="37" t="str">
        <f>'DOCS MNT'!I13</f>
        <v>D2.1. Sistema de Manutenção Aeroportuária</v>
      </c>
      <c r="H6" s="56">
        <f>IFERROR(H7,0)</f>
        <v>0</v>
      </c>
      <c r="I6" s="1"/>
      <c r="J6" s="1"/>
      <c r="N6" s="22">
        <f>IF('DOCS MNT'!$O$29="N/A",0,$F6)</f>
        <v>1.5</v>
      </c>
    </row>
    <row r="7" spans="2:14" ht="13.5" customHeight="1" x14ac:dyDescent="0.3">
      <c r="E7" s="1"/>
      <c r="F7" s="23">
        <f>'DOCS MNT'!D15</f>
        <v>1</v>
      </c>
      <c r="G7" s="30" t="str">
        <f>'DOCS MNT'!I15</f>
        <v>D2.1.1 Programas e avaliações técnicas e de segurança operacional</v>
      </c>
      <c r="H7" s="24">
        <f>IF('DOCS MNT'!P29="-",0,IF('DOCS MNT'!P29="N/A",0,IF('DOCS MNT'!P29=0,"0",'DOCS MNT'!P29)))</f>
        <v>0</v>
      </c>
      <c r="I7" s="1"/>
      <c r="J7" s="1"/>
      <c r="N7" s="22">
        <f>IF('DOCS MNT'!$O$29="N/A",0,$F7)</f>
        <v>1</v>
      </c>
    </row>
    <row r="8" spans="2:14" x14ac:dyDescent="0.3">
      <c r="E8" s="1"/>
      <c r="F8" s="31">
        <f>'DOCS MNT'!D33</f>
        <v>5</v>
      </c>
      <c r="G8" s="29" t="str">
        <f>'DOCS MNT'!I33</f>
        <v>D2.2. Monitoramento - Áreas Pavimentadas</v>
      </c>
      <c r="H8" s="56">
        <f>IFERROR((H9*N9+H10*N10+H11*N11+H12*N12+H13*N13+H14*N14+H15*N15)/SUM(N9:N15),0)</f>
        <v>0</v>
      </c>
      <c r="I8" s="1"/>
      <c r="J8" s="1"/>
      <c r="K8" s="1"/>
      <c r="N8" s="22">
        <f>IF('DOCS MNT'!$O$41="N/A",0,$F8)</f>
        <v>5</v>
      </c>
    </row>
    <row r="9" spans="2:14" x14ac:dyDescent="0.3">
      <c r="E9" s="1"/>
      <c r="F9" s="25">
        <f>'DOCS MNT'!D35</f>
        <v>2</v>
      </c>
      <c r="G9" s="30" t="str">
        <f>'DOCS MNT'!I35</f>
        <v>D2.2.1 Monitoramento da irregularidade longitudinal do pavimento</v>
      </c>
      <c r="H9" s="24">
        <f>IF('DOCS MNT'!P41="-",0,IF('DOCS MNT'!P41="N/A",0,IF('DOCS MNT'!P41=0,"0",'DOCS MNT'!P41)))</f>
        <v>0</v>
      </c>
      <c r="I9" s="1"/>
      <c r="J9" s="1"/>
      <c r="K9" s="1"/>
      <c r="N9" s="22">
        <f>IF('DOCS MNT'!$O$41="N/A",0,$F9)</f>
        <v>2</v>
      </c>
    </row>
    <row r="10" spans="2:14" x14ac:dyDescent="0.3">
      <c r="E10" s="1"/>
      <c r="F10" s="25">
        <f>'DOCS MNT'!D43</f>
        <v>5</v>
      </c>
      <c r="G10" s="30" t="str">
        <f>'DOCS MNT'!I43</f>
        <v>D2.2.2 Monitoramento do coeficiente de atrito</v>
      </c>
      <c r="H10" s="24">
        <f>IF('DOCS MNT'!P52="-",0,IF('DOCS MNT'!P52="N/A",0,IF('DOCS MNT'!P52=0,"0",'DOCS MNT'!P52)))</f>
        <v>0</v>
      </c>
      <c r="I10" s="1"/>
      <c r="J10" s="1"/>
      <c r="K10" s="1"/>
      <c r="N10" s="22">
        <f>IF('DOCS MNT'!$O$52="N/A",0,$F10)</f>
        <v>5</v>
      </c>
    </row>
    <row r="11" spans="2:14" x14ac:dyDescent="0.3">
      <c r="E11" s="1"/>
      <c r="F11" s="25">
        <f>'DOCS MNT'!D54</f>
        <v>4</v>
      </c>
      <c r="G11" s="30" t="str">
        <f>'DOCS MNT'!I54</f>
        <v>D2.2.3 Monitoramento da macrotextura</v>
      </c>
      <c r="H11" s="24">
        <f>IF('DOCS MNT'!P63="-",0,IF('DOCS MNT'!P63="N/A",0,IF('DOCS MNT'!P63=0,"0",'DOCS MNT'!P63)))</f>
        <v>0</v>
      </c>
      <c r="I11" s="1"/>
      <c r="J11" s="1"/>
      <c r="K11" s="1"/>
      <c r="N11" s="22">
        <f>IF('DOCS MNT'!$O$63="N/A",0,$F11)</f>
        <v>4</v>
      </c>
    </row>
    <row r="12" spans="2:14" x14ac:dyDescent="0.3">
      <c r="E12" s="1"/>
      <c r="F12" s="25">
        <f>'DOCS MNT'!D65</f>
        <v>2</v>
      </c>
      <c r="G12" s="30" t="str">
        <f>'DOCS MNT'!I65</f>
        <v>D2.2.4 Avaliação e acompanhamento dos defeitos leves no pavimento</v>
      </c>
      <c r="H12" s="24">
        <f>IF('DOCS MNT'!P70="-",0,IF('DOCS MNT'!P70="N/A",0,IF('DOCS MNT'!P70=0,"0",'DOCS MNT'!P70)))</f>
        <v>0</v>
      </c>
      <c r="I12" s="1"/>
      <c r="J12" s="1"/>
      <c r="K12" s="1"/>
      <c r="N12" s="22">
        <f>IF('DOCS MNT'!$O$70="N/A",0,$F12)</f>
        <v>2</v>
      </c>
    </row>
    <row r="13" spans="2:14" x14ac:dyDescent="0.3">
      <c r="E13" s="1"/>
      <c r="F13" s="25">
        <f>'DOCS MNT'!D72</f>
        <v>5</v>
      </c>
      <c r="G13" s="30" t="str">
        <f>'DOCS MNT'!I72</f>
        <v>D2.2.5 Sist. de Gerenciamento de Pavimentos Aeroportuários (SGPA)</v>
      </c>
      <c r="H13" s="24">
        <f>IF('DOCS MNT'!P76="-",0,IF('DOCS MNT'!P76="N/A",0,IF('DOCS MNT'!P76=0,"0",'DOCS MNT'!P76)))</f>
        <v>0</v>
      </c>
      <c r="I13" s="1"/>
      <c r="J13" s="1"/>
      <c r="K13" s="1"/>
      <c r="N13" s="22">
        <f>IF('DOCS MNT'!$O$76="N/A",0,$F13)</f>
        <v>5</v>
      </c>
    </row>
    <row r="14" spans="2:14" x14ac:dyDescent="0.3">
      <c r="E14" s="1"/>
      <c r="F14" s="25">
        <f>'DOCS MNT'!D78</f>
        <v>5</v>
      </c>
      <c r="G14" s="30" t="str">
        <f>'DOCS MNT'!I78</f>
        <v>D2.2.6 Outros itens de avaliação de monitoramento de pavimento</v>
      </c>
      <c r="H14" s="24">
        <f>IF('DOCS MNT'!P83="-",0,IF('DOCS MNT'!P83="N/A",0,IF('DOCS MNT'!P83=0,"0",'DOCS MNT'!P83)))</f>
        <v>0</v>
      </c>
      <c r="I14" s="1"/>
      <c r="J14" s="1"/>
      <c r="K14" s="1"/>
      <c r="N14" s="22">
        <f>IF('DOCS MNT'!$O$83="N/A",0,$F14)</f>
        <v>5</v>
      </c>
    </row>
    <row r="15" spans="2:14" x14ac:dyDescent="0.3">
      <c r="E15" s="1"/>
      <c r="F15" s="25">
        <f>'DOCS MNT'!D85</f>
        <v>5</v>
      </c>
      <c r="G15" s="30" t="str">
        <f>'DOCS MNT'!I85</f>
        <v>D2.2.7 Monitoramento do índice de serventia do pavimento (PCI)</v>
      </c>
      <c r="H15" s="24">
        <f>IF('DOCS MNT'!P90="-",0,IF('DOCS MNT'!P90="N/A",0,IF('DOCS MNT'!P90=0,"0",'DOCS MNT'!P90)))</f>
        <v>0</v>
      </c>
      <c r="I15" s="1"/>
      <c r="J15" s="1"/>
      <c r="K15" s="1"/>
      <c r="N15" s="22">
        <f>IF('DOCS MNT'!$O$89="N/A",0,$F15)</f>
        <v>5</v>
      </c>
    </row>
    <row r="16" spans="2:14" x14ac:dyDescent="0.3">
      <c r="E16" s="1"/>
      <c r="F16" s="21">
        <f>'DOCS MNT'!D94</f>
        <v>3</v>
      </c>
      <c r="G16" s="29" t="str">
        <f>'DOCS MNT'!I94</f>
        <v>D2.3. Monitoramento - Demais Áreas</v>
      </c>
      <c r="H16" s="56">
        <f>IFERROR((H17*N17+H18*N18)/SUM(N17:N18),0)</f>
        <v>0</v>
      </c>
      <c r="I16" s="1"/>
      <c r="J16" s="1"/>
      <c r="K16" s="1"/>
      <c r="N16" s="22">
        <f>IF('DOCS MNT'!$O$103="N/A",0,$F16)</f>
        <v>3</v>
      </c>
    </row>
    <row r="17" spans="4:14" x14ac:dyDescent="0.3">
      <c r="E17" s="1"/>
      <c r="F17" s="23">
        <f>'DOCS MNT'!D96</f>
        <v>5</v>
      </c>
      <c r="G17" s="30" t="str">
        <f>'DOCS MNT'!I96</f>
        <v>D2.3.1 Auxílios Visuais</v>
      </c>
      <c r="H17" s="24">
        <f>IF('DOCS MNT'!P103="-",0,IF('DOCS MNT'!P103="N/A",0,IF('DOCS MNT'!P103=0,"0",'DOCS MNT'!P103)))</f>
        <v>0</v>
      </c>
      <c r="I17" s="1"/>
      <c r="J17" s="1"/>
      <c r="K17" s="1"/>
      <c r="N17" s="22">
        <f>IF('DOCS MNT'!$O$103="N/A",0,$F17)</f>
        <v>5</v>
      </c>
    </row>
    <row r="18" spans="4:14" x14ac:dyDescent="0.3">
      <c r="E18" s="1"/>
      <c r="F18" s="23">
        <f>'DOCS MNT'!D105</f>
        <v>2</v>
      </c>
      <c r="G18" s="30" t="str">
        <f>'DOCS MNT'!I105</f>
        <v>D2.3.2 Demais Áreas</v>
      </c>
      <c r="H18" s="24">
        <f>IF('DOCS MNT'!P118="-",0,IF('DOCS MNT'!P118="N/A",0,IF('DOCS MNT'!P118=0,"0",'DOCS MNT'!P118)))</f>
        <v>0</v>
      </c>
      <c r="I18" s="1"/>
      <c r="J18" s="1"/>
      <c r="K18" s="1"/>
      <c r="N18" s="22">
        <f>IF('DOCS MNT'!$O$118="N/A",0,$F18)</f>
        <v>2</v>
      </c>
    </row>
    <row r="19" spans="4:14" ht="13.5" customHeight="1" x14ac:dyDescent="0.3">
      <c r="E19" s="1"/>
      <c r="F19" s="1"/>
      <c r="G19" s="36" t="s">
        <v>312</v>
      </c>
      <c r="H19" s="56">
        <f>IFERROR((H6*N6+H8*N8+H16*N16)/(N6+N8+N16),0)</f>
        <v>0</v>
      </c>
      <c r="I19" s="1"/>
      <c r="J19" s="1"/>
      <c r="K19" s="1"/>
    </row>
    <row r="20" spans="4:14" ht="12" customHeight="1" x14ac:dyDescent="0.3">
      <c r="E20" s="1"/>
      <c r="F20" s="1"/>
      <c r="G20" s="57" t="s">
        <v>313</v>
      </c>
      <c r="H20" s="26" t="str">
        <f>IF(H19=0,"",IF(H19&lt;=0.799,"ACOP não concedido",IF(AND(H19&gt;=0.8,H19&lt;=0.8499),"ACOP D",IF(AND(H19&gt;=0.85,H19&lt;=0.8999),"ACOP C",IF(AND(H19&gt;=0.9,H19&lt;=0.9499),"ACOP B", "ACOP A")))))</f>
        <v/>
      </c>
      <c r="I20" s="1"/>
      <c r="J20" s="1"/>
      <c r="K20" s="1"/>
    </row>
    <row r="21" spans="4:14" x14ac:dyDescent="0.3">
      <c r="D21" s="9"/>
    </row>
    <row r="22" spans="4:14" x14ac:dyDescent="0.3">
      <c r="D22" s="9"/>
      <c r="I22" s="1"/>
    </row>
    <row r="26" spans="4:14" x14ac:dyDescent="0.3">
      <c r="E26" s="1"/>
      <c r="I26" s="1"/>
    </row>
    <row r="27" spans="4:14" x14ac:dyDescent="0.3">
      <c r="I27" s="1"/>
    </row>
    <row r="28" spans="4:14" x14ac:dyDescent="0.3">
      <c r="I28" s="1"/>
    </row>
    <row r="29" spans="4:14" x14ac:dyDescent="0.3">
      <c r="I29" s="1"/>
    </row>
    <row r="30" spans="4:14" x14ac:dyDescent="0.3">
      <c r="I30" s="1"/>
    </row>
    <row r="31" spans="4:14" x14ac:dyDescent="0.3">
      <c r="I31" s="1"/>
    </row>
    <row r="32" spans="4:14" x14ac:dyDescent="0.3">
      <c r="I32" s="1"/>
    </row>
    <row r="56" ht="6" customHeight="1" x14ac:dyDescent="0.3"/>
  </sheetData>
  <sheetProtection algorithmName="SHA-512" hashValue="CwLr8T90pT/fKmN8HHTXKYAo/PLjpXw5ynIXU9hMwXRg9Yyc4Imv6VDHbLzNhVdsgOqpDxwR/bSxTWjnzLHzNg==" saltValue="MCqpwvyfLEGj9y18uX+ONg==" spinCount="100000" sheet="1" objects="1" scenarios="1" selectLockedCells="1"/>
  <customSheetViews>
    <customSheetView guid="{D37F1B69-6CE7-4A90-8559-8AE519A5C1EC}" showGridLines="0" hiddenColumns="1">
      <selection activeCell="AF23" sqref="AF23"/>
      <pageMargins left="0" right="0" top="0" bottom="0" header="0" footer="0"/>
      <pageSetup paperSize="9" scale="76" orientation="portrait" r:id="rId1"/>
      <headerFooter>
        <oddHeader>&amp;C&amp;"-,Negrito"Superintendência de Infraestrutura Aeroportuária - SIA
Gerência de Certificação e Segurança Operacional - GCOP
Gerência Técnica de Infraestrutura e Operações Aeroportuárias - GTOP</oddHeader>
      </headerFooter>
    </customSheetView>
  </customSheetViews>
  <mergeCells count="3">
    <mergeCell ref="B2:L2"/>
    <mergeCell ref="F4:F5"/>
    <mergeCell ref="G4:G5"/>
  </mergeCells>
  <conditionalFormatting sqref="H6:H19">
    <cfRule type="cellIs" dxfId="0" priority="1" operator="equal">
      <formula>0</formula>
    </cfRule>
  </conditionalFormatting>
  <pageMargins left="0.511811024" right="0.511811024" top="0.8075" bottom="0.78740157499999996" header="0.31496062000000002" footer="0.31496062000000002"/>
  <pageSetup paperSize="9" scale="76" orientation="portrait" r:id="rId2"/>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4.5" x14ac:dyDescent="0.35"/>
  <cols>
    <col min="3" max="3" width="12.81640625" bestFit="1" customWidth="1"/>
  </cols>
  <sheetData>
    <row r="1" spans="1:4" x14ac:dyDescent="0.35">
      <c r="A1" s="15" t="s">
        <v>314</v>
      </c>
      <c r="B1" s="16"/>
      <c r="C1" s="16"/>
    </row>
    <row r="2" spans="1:4" x14ac:dyDescent="0.35">
      <c r="A2" s="4" t="s">
        <v>46</v>
      </c>
      <c r="B2" s="4"/>
      <c r="D2" s="4"/>
    </row>
    <row r="3" spans="1:4" x14ac:dyDescent="0.35">
      <c r="A3" s="4"/>
      <c r="B3" s="7">
        <v>1E-4</v>
      </c>
      <c r="C3" s="4" t="s">
        <v>315</v>
      </c>
      <c r="D3" s="35">
        <v>0.01</v>
      </c>
    </row>
    <row r="4" spans="1:4" x14ac:dyDescent="0.35">
      <c r="A4" s="4"/>
      <c r="B4" s="7">
        <v>1</v>
      </c>
      <c r="C4" s="4" t="s">
        <v>316</v>
      </c>
      <c r="D4" s="4">
        <v>1</v>
      </c>
    </row>
    <row r="5" spans="1:4" x14ac:dyDescent="0.35">
      <c r="A5" s="4"/>
      <c r="B5" s="7">
        <v>0.95</v>
      </c>
      <c r="C5" s="4" t="s">
        <v>317</v>
      </c>
      <c r="D5" s="4">
        <v>3</v>
      </c>
    </row>
    <row r="6" spans="1:4" x14ac:dyDescent="0.35">
      <c r="A6" s="4"/>
      <c r="B6" s="7">
        <v>0.9</v>
      </c>
      <c r="C6" s="4" t="s">
        <v>318</v>
      </c>
      <c r="D6" s="4">
        <v>7</v>
      </c>
    </row>
    <row r="7" spans="1:4" x14ac:dyDescent="0.35">
      <c r="A7" s="4"/>
      <c r="B7" s="7">
        <v>0.85</v>
      </c>
      <c r="C7" s="4" t="s">
        <v>319</v>
      </c>
      <c r="D7" s="35">
        <v>10</v>
      </c>
    </row>
    <row r="8" spans="1:4" x14ac:dyDescent="0.35">
      <c r="A8" s="4"/>
      <c r="B8" s="7">
        <v>0.8</v>
      </c>
    </row>
    <row r="9" spans="1:4" x14ac:dyDescent="0.35">
      <c r="A9" s="4"/>
      <c r="B9" s="7">
        <v>0.75</v>
      </c>
    </row>
    <row r="10" spans="1:4" x14ac:dyDescent="0.35">
      <c r="A10" s="4"/>
      <c r="B10" s="7">
        <v>0.7</v>
      </c>
    </row>
    <row r="11" spans="1:4" x14ac:dyDescent="0.35">
      <c r="A11" s="4"/>
      <c r="B11" s="7">
        <v>0.65</v>
      </c>
    </row>
    <row r="12" spans="1:4" x14ac:dyDescent="0.35">
      <c r="A12" s="4"/>
      <c r="B12" s="7">
        <v>0.6</v>
      </c>
    </row>
    <row r="13" spans="1:4" x14ac:dyDescent="0.35">
      <c r="A13" s="4"/>
      <c r="B13" s="7">
        <v>0.55000000000000004</v>
      </c>
    </row>
    <row r="14" spans="1:4" x14ac:dyDescent="0.35">
      <c r="A14" s="4"/>
      <c r="B14" s="7">
        <v>0.5</v>
      </c>
    </row>
    <row r="15" spans="1:4" x14ac:dyDescent="0.35">
      <c r="A15" s="4"/>
      <c r="B15" s="7">
        <v>0.45</v>
      </c>
    </row>
    <row r="16" spans="1:4" x14ac:dyDescent="0.35">
      <c r="A16" s="4"/>
      <c r="B16" s="7">
        <v>0.39999999999999902</v>
      </c>
    </row>
    <row r="17" spans="1:2" x14ac:dyDescent="0.35">
      <c r="A17" s="4"/>
      <c r="B17" s="7">
        <v>0.34999999999999898</v>
      </c>
    </row>
    <row r="18" spans="1:2" x14ac:dyDescent="0.35">
      <c r="A18" s="4"/>
      <c r="B18" s="7">
        <v>0.29999999999999899</v>
      </c>
    </row>
    <row r="19" spans="1:2" x14ac:dyDescent="0.35">
      <c r="A19" s="4"/>
      <c r="B19" s="7">
        <v>0.249999999999999</v>
      </c>
    </row>
    <row r="20" spans="1:2" x14ac:dyDescent="0.35">
      <c r="A20" s="4"/>
      <c r="B20" s="7">
        <v>0.19999999999999901</v>
      </c>
    </row>
    <row r="21" spans="1:2" x14ac:dyDescent="0.35">
      <c r="A21" s="4"/>
      <c r="B21" s="7">
        <v>0.149999999999999</v>
      </c>
    </row>
    <row r="22" spans="1:2" x14ac:dyDescent="0.35">
      <c r="A22" s="1"/>
      <c r="B22" s="7">
        <v>9.9999999999999006E-2</v>
      </c>
    </row>
    <row r="23" spans="1:2" x14ac:dyDescent="0.35">
      <c r="A23" s="1"/>
      <c r="B23" s="7">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Props1.xml><?xml version="1.0" encoding="utf-8"?>
<ds:datastoreItem xmlns:ds="http://schemas.openxmlformats.org/officeDocument/2006/customXml" ds:itemID="{80CB0508-0BCD-477E-9495-2CEBD92397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aa9464-4424-40fe-be37-0a216c42574f"/>
    <ds:schemaRef ds:uri="858fbe19-3582-43df-8e84-fb58b82073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4C8BB0-D02E-4874-8033-1A31884DDF94}">
  <ds:schemaRefs>
    <ds:schemaRef ds:uri="http://schemas.microsoft.com/sharepoint/v3/contenttype/forms"/>
  </ds:schemaRefs>
</ds:datastoreItem>
</file>

<file path=customXml/itemProps3.xml><?xml version="1.0" encoding="utf-8"?>
<ds:datastoreItem xmlns:ds="http://schemas.openxmlformats.org/officeDocument/2006/customXml" ds:itemID="{9FC31C0E-8FEC-4DBF-9804-49A033111F47}">
  <ds:schemaRefs>
    <ds:schemaRef ds:uri="http://schemas.microsoft.com/office/2006/metadata/properties"/>
    <ds:schemaRef ds:uri="http://schemas.microsoft.com/office/infopath/2007/PartnerControls"/>
    <ds:schemaRef ds:uri="daaa9464-4424-40fe-be37-0a216c42574f"/>
    <ds:schemaRef ds:uri="858fbe19-3582-43df-8e84-fb58b82073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DOCS MNT</vt:lpstr>
      <vt:lpstr>DOCS MNT Final</vt:lpstr>
      <vt:lpstr>Listas</vt:lpstr>
      <vt:lpstr>'DOCS MNT'!Area_de_impressao</vt:lpstr>
      <vt:lpstr>'DOCS MNT Final'!Area_de_impressao</vt:lpstr>
      <vt:lpstr>Orientações!Area_de_impressao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Roberta David de Aquino Santos</cp:lastModifiedBy>
  <cp:revision/>
  <dcterms:created xsi:type="dcterms:W3CDTF">2023-02-25T22:08:42Z</dcterms:created>
  <dcterms:modified xsi:type="dcterms:W3CDTF">2025-05-05T12:42:52Z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